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10" windowWidth="23640" windowHeight="11835" activeTab="1"/>
  </bookViews>
  <sheets>
    <sheet name="Main" sheetId="1" r:id="rId1"/>
    <sheet name="4Scrappage" sheetId="2" r:id="rId2"/>
    <sheet name="Sheet3" sheetId="3" r:id="rId3"/>
  </sheets>
  <definedNames/>
  <calcPr fullCalcOnLoad="1" iterate="1" iterateCount="20" iterateDelta="0.0005"/>
</workbook>
</file>

<file path=xl/sharedStrings.xml><?xml version="1.0" encoding="utf-8"?>
<sst xmlns="http://schemas.openxmlformats.org/spreadsheetml/2006/main" count="765" uniqueCount="334">
  <si>
    <t>Representative vehicle</t>
  </si>
  <si>
    <t>Curb Wt</t>
  </si>
  <si>
    <t>lb</t>
  </si>
  <si>
    <t>kWh</t>
  </si>
  <si>
    <t>gallons</t>
  </si>
  <si>
    <t>Prius</t>
  </si>
  <si>
    <t>milligal/mi</t>
  </si>
  <si>
    <t>W-hr/mi</t>
  </si>
  <si>
    <t>miles</t>
  </si>
  <si>
    <t>Equiv. mi</t>
  </si>
  <si>
    <t>Energy Costs of Vehicle Production vs. Operation</t>
  </si>
  <si>
    <t>N/A</t>
  </si>
  <si>
    <t>MWh</t>
  </si>
  <si>
    <t>vs. Prius</t>
  </si>
  <si>
    <t>vs. SUV</t>
  </si>
  <si>
    <t>kg CO2</t>
  </si>
  <si>
    <t>1 gallon gasoline</t>
  </si>
  <si>
    <t>g-CO2/kWh at 100% efficiency</t>
  </si>
  <si>
    <t>1 kWh</t>
  </si>
  <si>
    <t>BTU</t>
  </si>
  <si>
    <t>1 MWh</t>
  </si>
  <si>
    <t>1 Mg</t>
  </si>
  <si>
    <t>kg</t>
  </si>
  <si>
    <t>Equiv. gal of gasoline/lb</t>
  </si>
  <si>
    <t>kWh/lb</t>
  </si>
  <si>
    <t>Argonne's ICE car</t>
  </si>
  <si>
    <t>data from U.S. DOT</t>
  </si>
  <si>
    <t>Energy to Manufacture</t>
  </si>
  <si>
    <t>Conservately estimated vehicle lifetime</t>
  </si>
  <si>
    <t>years</t>
  </si>
  <si>
    <t>gal</t>
  </si>
  <si>
    <t>metric ton</t>
  </si>
  <si>
    <t>Size</t>
  </si>
  <si>
    <t>EV</t>
  </si>
  <si>
    <t>Conventional ICE</t>
  </si>
  <si>
    <t>kBTU/lb</t>
  </si>
  <si>
    <t>Curb Wt.</t>
  </si>
  <si>
    <t>Lb</t>
  </si>
  <si>
    <t>MBTU</t>
  </si>
  <si>
    <t>Total Manufacturing Energy</t>
  </si>
  <si>
    <t>Estimates</t>
  </si>
  <si>
    <t>Best</t>
  </si>
  <si>
    <t>Worst</t>
  </si>
  <si>
    <t>infinite</t>
  </si>
  <si>
    <t>Input data</t>
  </si>
  <si>
    <t>Argonne's hybrid, NiMH</t>
  </si>
  <si>
    <t>Estimated Li-ion PHEV</t>
  </si>
  <si>
    <t>Batt. kWh</t>
  </si>
  <si>
    <t>Useful</t>
  </si>
  <si>
    <t>Req'd EV</t>
  </si>
  <si>
    <t>Range, mi</t>
  </si>
  <si>
    <t>W-hr/kg</t>
  </si>
  <si>
    <t>W-hr/lb</t>
  </si>
  <si>
    <t>Batt. wt</t>
  </si>
  <si>
    <t>% Max</t>
  </si>
  <si>
    <t>Electric</t>
  </si>
  <si>
    <t>% Average</t>
  </si>
  <si>
    <t>Grid electricity consumption rate, W-hr/mi</t>
  </si>
  <si>
    <t>Prius-size</t>
  </si>
  <si>
    <t>SUV-size</t>
  </si>
  <si>
    <t>Est. other</t>
  </si>
  <si>
    <t>Wt, lb</t>
  </si>
  <si>
    <t>Add wt, lb</t>
  </si>
  <si>
    <t>Total Add</t>
  </si>
  <si>
    <t>EPA mpg</t>
  </si>
  <si>
    <t>Assumptions and Estimates</t>
  </si>
  <si>
    <t>Color coding  =&gt;</t>
  </si>
  <si>
    <t>Vehicle Characteristics</t>
  </si>
  <si>
    <t>Conversions</t>
  </si>
  <si>
    <t>Fuel Consumption &amp; CO2</t>
  </si>
  <si>
    <t>Ave. gas</t>
  </si>
  <si>
    <t>Ave. elect.</t>
  </si>
  <si>
    <t>Combined</t>
  </si>
  <si>
    <t>1 gallon gasoline, after burning</t>
  </si>
  <si>
    <t>g-CO2/kWh</t>
  </si>
  <si>
    <t>CA 2004:</t>
  </si>
  <si>
    <t>U.S. 2010:</t>
  </si>
  <si>
    <t>CO2 content of grid electricity (same as gasoline (above) used for simplicity)</t>
  </si>
  <si>
    <t>*** Metric tons at 8.9 kg per gallon of gasoline and 245 g/kWh, just over the California 2004 average of 236 g/kWh for grid electricity</t>
  </si>
  <si>
    <t>MT CO2***</t>
  </si>
  <si>
    <r>
      <t xml:space="preserve">% </t>
    </r>
    <r>
      <rPr>
        <b/>
        <sz val="10"/>
        <rFont val="Arial"/>
        <family val="2"/>
      </rPr>
      <t>Electric</t>
    </r>
  </si>
  <si>
    <t>Resulting vehicle (new or conversion)</t>
  </si>
  <si>
    <t>Miles</t>
  </si>
  <si>
    <t>Miles for oil savings</t>
  </si>
  <si>
    <t>... if replacing a vehicle of the other size</t>
  </si>
  <si>
    <t>Gal equiv.</t>
  </si>
  <si>
    <t>Gas equiv, gallons</t>
  </si>
  <si>
    <t>New Full-EV PHEV</t>
  </si>
  <si>
    <t>New Blended PHEV</t>
  </si>
  <si>
    <t>ICE mi</t>
  </si>
  <si>
    <t>Other size</t>
  </si>
  <si>
    <t>Estimated Oil Used in Manufacture (in gallons of gasoline)</t>
  </si>
  <si>
    <t>Estimated Total Energy/Emissions to Manufacture</t>
  </si>
  <si>
    <t>Mid-sized PSV*</t>
  </si>
  <si>
    <t>* PSV = Pickup truck, SUV, or Van</t>
  </si>
  <si>
    <t>ICE^^</t>
  </si>
  <si>
    <t>Fuel Consumption</t>
  </si>
  <si>
    <t>milligal/mi, vs…</t>
  </si>
  <si>
    <t>W-hr/mi, vs…</t>
  </si>
  <si>
    <t>Est. &gt;mpg</t>
  </si>
  <si>
    <t>from HEV</t>
  </si>
  <si>
    <t>Gallons</t>
  </si>
  <si>
    <t>Lifetime Consumption/Emissions</t>
  </si>
  <si>
    <t>Mid-PSV*</t>
  </si>
  <si>
    <t xml:space="preserve">^ and * references are all global </t>
  </si>
  <si>
    <t>ICE mpg notes:  16 mpg is claimed by Ford for F-150 &amp; Escape, while drivers reportedly actually get 10-15 mpg in pickup trucks.</t>
  </si>
  <si>
    <t xml:space="preserve">    I believe the 30 mpg shown for Mid-sized (Prius-sized) passenger cars is over-optimistic, as that automakers barely achieve 22.5 mpg CAFÉ on new non-SUV</t>
  </si>
  <si>
    <t xml:space="preserve">     passenger cars, and CAFÉ numbers do not even reflect downward corrections shown on new-car stickers for real-world driving.</t>
  </si>
  <si>
    <t>^^ For simplicity, lifetime costs for conversions assume conversion when new; converted Prius is conpared to an unconverted Prius rather than to an ICE</t>
  </si>
  <si>
    <t>Full-EV PHEV conversion from ICE^^</t>
  </si>
  <si>
    <t>Blended PHEV conversion from Prius^^</t>
  </si>
  <si>
    <t>Blended PHEV conversion from ICE^^</t>
  </si>
  <si>
    <t>Gas use^,</t>
  </si>
  <si>
    <t>Ave. gas^</t>
  </si>
  <si>
    <t>^^^ Total energy, including that contained in gasoline and electric energy from the grid</t>
  </si>
  <si>
    <t>^ Also counts savings from increased gasoline mileage due to hybridization</t>
  </si>
  <si>
    <t>Energy Savings^</t>
  </si>
  <si>
    <t>Gas Savings^</t>
  </si>
  <si>
    <t>MWh^^^</t>
  </si>
  <si>
    <t>W-hr/mi^^^</t>
  </si>
  <si>
    <t>ICE mi^^</t>
  </si>
  <si>
    <t>Miles resulting vehicle must be driven to save enough CO2 emissions or energy to make up for the conversion of an ordinary ICE vehicle or manufacture of a new vehicle of the same size (Prius-sized or Mid-sized PSV*).</t>
  </si>
  <si>
    <t>of manuf. energy estimated from oil****</t>
  </si>
  <si>
    <t>**** Manufacturing energy costs guesstimated to be 10-40% from oil (mostly for aluminum and plastic manufacture, and for transportation of raw materials, parts, and the final vehicle)</t>
  </si>
  <si>
    <t xml:space="preserve">to 80% depth-of-discharge (DOD) </t>
  </si>
  <si>
    <t>Estimated Li-ion EV^^^^</t>
  </si>
  <si>
    <t>Est. LI-ion PHEV conversion's added wt.^^^^</t>
  </si>
  <si>
    <t>^^^^ Assuming Li-ion manganese or equivalent, nearly double LiFePO4 specific energy but also available and safe</t>
  </si>
  <si>
    <t>^ Also counts savings from increased gasoline mileage due to hybridization; note that the Prius also has other efficiency improvements over ICE cars</t>
  </si>
  <si>
    <t>miles/yr</t>
  </si>
  <si>
    <t>Average EV or blended operation vs. range in miles</t>
  </si>
  <si>
    <t>Note:  40-mile 50% blended range requires only 20-mile EV range</t>
  </si>
  <si>
    <t>vs. Total</t>
  </si>
  <si>
    <t>vs. Full-
EV PHEV</t>
  </si>
  <si>
    <t>Energy,
MWh</t>
  </si>
  <si>
    <t>Gasoline
equiv, gal</t>
  </si>
  <si>
    <t>Emissions
MT CO2***</t>
  </si>
  <si>
    <t>Lifetime Gasoline Consump-tion</t>
  </si>
  <si>
    <t>Lifetime Total Energy</t>
  </si>
  <si>
    <t>Manufac-ture or conversion energy</t>
  </si>
  <si>
    <t>Lifetime Electricity Consumption</t>
  </si>
  <si>
    <t>Energy, CO2, &amp; Oil to Manufacture</t>
  </si>
  <si>
    <t>Gasoline</t>
  </si>
  <si>
    <t>(Fuel+Manufacturing)</t>
  </si>
  <si>
    <t>Manufacturing</t>
  </si>
  <si>
    <t>Gal equiv</t>
  </si>
  <si>
    <t>Oil only, gal equiv</t>
  </si>
  <si>
    <t>Energy, Lifetime Totals</t>
  </si>
  <si>
    <t>Electricity</t>
  </si>
  <si>
    <t>Total</t>
  </si>
  <si>
    <t>Emissions</t>
  </si>
  <si>
    <t>================== Totals ==================</t>
  </si>
  <si>
    <t>Total Oil</t>
  </si>
  <si>
    <t>Energy/oil savings</t>
  </si>
  <si>
    <t>Vehicles on the road</t>
  </si>
  <si>
    <t>Yearly gasoline consumption</t>
  </si>
  <si>
    <t>U.S.</t>
  </si>
  <si>
    <r>
      <t xml:space="preserve">Li-ion manganese </t>
    </r>
    <r>
      <rPr>
        <b/>
        <sz val="10"/>
        <rFont val="Arial"/>
        <family val="0"/>
      </rPr>
      <t>cell</t>
    </r>
    <r>
      <rPr>
        <sz val="10"/>
        <rFont val="Arial"/>
        <family val="0"/>
      </rPr>
      <t xml:space="preserve"> specific energy^^^^</t>
    </r>
  </si>
  <si>
    <r>
      <t xml:space="preserve">Li-ion manganese </t>
    </r>
    <r>
      <rPr>
        <b/>
        <sz val="10"/>
        <rFont val="Arial"/>
        <family val="0"/>
      </rPr>
      <t>pack</t>
    </r>
    <r>
      <rPr>
        <sz val="10"/>
        <rFont val="Arial"/>
        <family val="0"/>
      </rPr>
      <t xml:space="preserve"> useful specific energy^^^^</t>
    </r>
  </si>
  <si>
    <t>billion gallons</t>
  </si>
  <si>
    <t>million</t>
  </si>
  <si>
    <t>World</t>
  </si>
  <si>
    <t>Vehicle mix:  50% PSV, 50% Prius-sized</t>
  </si>
  <si>
    <t>billion gals</t>
  </si>
  <si>
    <t>consump.</t>
  </si>
  <si>
    <t>Societal Cost to Manufacture</t>
  </si>
  <si>
    <t>Cost to manufacture replacement PHEVs</t>
  </si>
  <si>
    <t>U.S. yearly gasoline consumption</t>
  </si>
  <si>
    <t>Cost to convert to PHEVs</t>
  </si>
  <si>
    <t>vs. U.S.</t>
  </si>
  <si>
    <t>millions</t>
  </si>
  <si>
    <t>Vehicles</t>
  </si>
  <si>
    <t>All U.S,</t>
  </si>
  <si>
    <t>Each,</t>
  </si>
  <si>
    <t>Age</t>
  </si>
  <si>
    <t>Vehicle type</t>
  </si>
  <si>
    <t>PSV*</t>
  </si>
  <si>
    <t>* PSV = pickup truck, SUV, or van</t>
  </si>
  <si>
    <t>Old vehicle</t>
  </si>
  <si>
    <t>HEV</t>
  </si>
  <si>
    <t>kg-CO2/gallon gasoline</t>
  </si>
  <si>
    <t>(125k BTU), http://en.wikipedia.org/wiki/Gasoline#Energy_content</t>
  </si>
  <si>
    <t>Li-ion (22.x lb in Li-ion HEV)</t>
  </si>
  <si>
    <t>NiMH (84.3 lb in Li-ion HEV)</t>
  </si>
  <si>
    <t>PbA (22.x lb in Li-ion HEV)</t>
  </si>
  <si>
    <t>Lb in HEV</t>
  </si>
  <si>
    <t>The Argonne figures below are from GREET 2.7, http://www.transportation.anl.gov/pdfs/TA/378.pdf (see also http://www.salon.com/mwt/feature/2008/04/21/ask_pablo_cars/)</t>
  </si>
  <si>
    <t xml:space="preserve">    This is insufficient, but presumably more energy -- at least for now -- goes into such structures as batteries, electronic components, and motor magnets.</t>
  </si>
  <si>
    <t>Iron + steel (73% of vehicles)</t>
  </si>
  <si>
    <t>Assumed generalized passenger car</t>
  </si>
  <si>
    <t xml:space="preserve">    They take into account material recycling.  It was not explained why the hybrid is both lighter but requires as much energy to manufacture.  </t>
  </si>
  <si>
    <t xml:space="preserve">    Battery densities are lower than overall vehicle densities, but are counted twice due to an overly-cautious presumed battery replacement during the vehicle lifetime.</t>
  </si>
  <si>
    <t xml:space="preserve">    I therefore believe it is reasonable, though slightly overly conservative, to assume for simplicity, as I have below, that ICEs -- and HEVs &amp; PHEVs before adding the battery --</t>
  </si>
  <si>
    <t xml:space="preserve">       all weigh the same; all require the same energy/pound to manufacture; and their battery packs, while lasting the vehicle lifetime, also reflect that same energy/pound.</t>
  </si>
  <si>
    <t>Note: these are the vehicle specs used for further calculations</t>
  </si>
  <si>
    <t>Note: these are the conversion specs used for further calculations</t>
  </si>
  <si>
    <t>Note: these are the EV battery specs used for further calculations</t>
  </si>
  <si>
    <t>Note: these are the PHEV battery specs used for further calculations</t>
  </si>
  <si>
    <t>EV-250</t>
  </si>
  <si>
    <t>EV-120</t>
  </si>
  <si>
    <t>kg-CO2/kWh, 2010 U.S. average</t>
  </si>
  <si>
    <t>Year</t>
  </si>
  <si>
    <t>Years old</t>
  </si>
  <si>
    <t>Yrly gal</t>
  </si>
  <si>
    <t>CAFÉ (Note: real-world mileage is ~25% lower; sticker is ~10% lower until ~25% lower starting 2008)</t>
  </si>
  <si>
    <t>CAFE mpg</t>
  </si>
  <si>
    <t>Real mpg</t>
  </si>
  <si>
    <t>Pickups, SUVs, &amp; Vans (PSVs)</t>
  </si>
  <si>
    <t>Passenger Cars</t>
  </si>
  <si>
    <t>Estimated sticker mileage, % of CAFÉ, through 2007</t>
  </si>
  <si>
    <t>Estimated sticker mileage, % of CAFÉ, 2008+</t>
  </si>
  <si>
    <t>Estimated real-world mileage, % of CAFÉ</t>
  </si>
  <si>
    <t>Estimated average vehicle lifetime, yr, incl. as foreign clunker</t>
  </si>
  <si>
    <t>Estimated average yearly mileage</t>
  </si>
  <si>
    <t>Estimated average lifetime vehicle mileage</t>
  </si>
  <si>
    <t>kg per metric ton</t>
  </si>
  <si>
    <t>yr</t>
  </si>
  <si>
    <t>mpg</t>
  </si>
  <si>
    <t>gal-equiv</t>
  </si>
  <si>
    <t>%</t>
  </si>
  <si>
    <t>Est. CAFÉ</t>
  </si>
  <si>
    <t>Est. real-world</t>
  </si>
  <si>
    <t>Curb wt (CVW)</t>
  </si>
  <si>
    <t>Energy of
manuf</t>
  </si>
  <si>
    <t>Yearly con-sumption</t>
  </si>
  <si>
    <t>Lifetime con-sumption</t>
  </si>
  <si>
    <t>Years</t>
  </si>
  <si>
    <t>CO2 savings</t>
  </si>
  <si>
    <t>Consumption savings thru scrapped vehicle's normal lifetime</t>
  </si>
  <si>
    <t>2010 replacement vehicle</t>
  </si>
  <si>
    <t>Date</t>
  </si>
  <si>
    <t>Estimated yearly CAFÉ improvements, 2010-2020</t>
  </si>
  <si>
    <t>Scrappage Effects by end of 2010 vehicle's normal lifetime**</t>
  </si>
  <si>
    <t xml:space="preserve">Lifetime 'till 2010's end-of-life </t>
  </si>
  <si>
    <t>Consumption savings after that to 2010 vehicle's normal lifetime</t>
  </si>
  <si>
    <t>gal/year</t>
  </si>
  <si>
    <t>Total energy savings</t>
  </si>
  <si>
    <t>Lifetime remaining</t>
  </si>
  <si>
    <t>** By the end of the scrapped vehicle's normal lifetime, the 2010 replacement vehicle will still have some amortized cost-of-manufacture left.</t>
  </si>
  <si>
    <t xml:space="preserve">    If scrappage had not occurred, an even more efficient replacement vehicle would begin use at this point, so this calculation continues on to the end of the 2010 replacement vehicle's lifetime.</t>
  </si>
  <si>
    <t xml:space="preserve">    Higher next-replacement-vehicle efficiencies would lead to less total savings from scrappage.</t>
  </si>
  <si>
    <t>PHEV</t>
  </si>
  <si>
    <t>2011 Volt</t>
  </si>
  <si>
    <t>EV (empg)</t>
  </si>
  <si>
    <t>Eventual replacement vehicle if no scrappage</t>
  </si>
  <si>
    <t>L/100km</t>
  </si>
  <si>
    <t>Sedan</t>
  </si>
  <si>
    <t>Conversion effects by end of vehicle's normal lifetime</t>
  </si>
  <si>
    <t>Conver-sion's energy of manuf</t>
  </si>
  <si>
    <t>Est. com-bined Sticker</t>
  </si>
  <si>
    <t>More conversion PHEV characteristics</t>
  </si>
  <si>
    <t>Value of conversion @ $XX/gal saved***</t>
  </si>
  <si>
    <t>Est. CAFÉ****</t>
  </si>
  <si>
    <t>**** Assumes CAFÉ increases of 3.42%/year, which will reach the federally-mandated 2020 CAFÉ of 35 mpg for cars but is less than the current 4.5%/year for the next few years, CA requirements, or what PHEVs could enable.</t>
  </si>
  <si>
    <t>*** Translates into metric tons of CO2 as follows:</t>
  </si>
  <si>
    <t>per metric ton of CO2</t>
  </si>
  <si>
    <t>per gallon of gasoline =</t>
  </si>
  <si>
    <t>$/yr remain</t>
  </si>
  <si>
    <t>Value of scrappage @ $XX/gal saved***</t>
  </si>
  <si>
    <t>gallons of gasoline together emit 1 metric ton of CO2</t>
  </si>
  <si>
    <t>Scrappage savings /diff/yr</t>
  </si>
  <si>
    <t>Mpg</t>
  </si>
  <si>
    <t>Conver-sion savings /diff/yr</t>
  </si>
  <si>
    <t>Consumption savings thru converted vehicle's normal lifetime</t>
  </si>
  <si>
    <t>/yr remain</t>
  </si>
  <si>
    <t>mi</t>
  </si>
  <si>
    <t>kg-CO2/kWh, CA average &amp; future U.S.</t>
  </si>
  <si>
    <t>kWh/gal</t>
  </si>
  <si>
    <t>Conversion EV/PHEV characteristics</t>
  </si>
  <si>
    <t>Wh/mi</t>
  </si>
  <si>
    <t>Com-bined Sticker *****</t>
  </si>
  <si>
    <t>***** Starting with worse than average vehicle, replacing with better than average</t>
  </si>
  <si>
    <t>Est. real-world grid</t>
  </si>
  <si>
    <t>Con-version total</t>
  </si>
  <si>
    <t>Eff. cost of added weight</t>
  </si>
  <si>
    <t>HEV eff. improv.</t>
  </si>
  <si>
    <t>Est. real-world, sustain-mode</t>
  </si>
  <si>
    <t>New gas con-sumption</t>
  </si>
  <si>
    <t>% of orig</t>
  </si>
  <si>
    <t>kWh energy in a gallon of gasoline</t>
  </si>
  <si>
    <t>Original vehicle</t>
  </si>
  <si>
    <t>Orig vehicle real-world equiv.</t>
  </si>
  <si>
    <t>CO2 per energy content, CA electrisity vs. gasoline</t>
  </si>
  <si>
    <t>CO2 from CA elect. Consump</t>
  </si>
  <si>
    <t>CO2 from US elect. Consump</t>
  </si>
  <si>
    <t>Est. real-world effective</t>
  </si>
  <si>
    <t xml:space="preserve">Est. effective CAFÉ </t>
  </si>
  <si>
    <t>Yearly con-sump-tion</t>
  </si>
  <si>
    <t>Elect. Con-sumption, gal-equiv</t>
  </si>
  <si>
    <t>Estimated equivalent gallons of gasoline per pound curb weight to manufacture a vehicle</t>
  </si>
  <si>
    <t>Estimated battery Wh/lb</t>
  </si>
  <si>
    <t>Est. eff. sticker L/100km diff</t>
  </si>
  <si>
    <t>Remain-ing life-time con-sumption</t>
  </si>
  <si>
    <t>Conversion and converted vehicle</t>
  </si>
  <si>
    <t>Energy of
conver-sion manuf.</t>
  </si>
  <si>
    <t>Charge-depletion range</t>
  </si>
  <si>
    <t>EV fuel displace-ment</t>
  </si>
  <si>
    <t>mild PHEV</t>
  </si>
  <si>
    <t>EREV/PHEV</t>
  </si>
  <si>
    <t>Utility-factor (max EV)</t>
  </si>
  <si>
    <t>Effective charge-depletion distance</t>
  </si>
  <si>
    <t>Effective EV range</t>
  </si>
  <si>
    <t>Old vehic-le's lost energy of manuf</t>
  </si>
  <si>
    <t>To initial recoup of manufactur-ing energy of conversion</t>
  </si>
  <si>
    <t>Li-ion battery</t>
  </si>
  <si>
    <t>Other conv. parts</t>
  </si>
  <si>
    <t>Val of con-version @ $XX/ton CO2</t>
  </si>
  <si>
    <t>Scrappage val @ $XX/ton CO2</t>
  </si>
  <si>
    <t>HEV PSV*</t>
  </si>
  <si>
    <t>2009 Prius</t>
  </si>
  <si>
    <t>empg</t>
  </si>
  <si>
    <t>Lost manuf energy/con-sumption savings</t>
  </si>
  <si>
    <t>Conversion energy/con-sumption savings</t>
  </si>
  <si>
    <t>PHEV PSV*</t>
  </si>
  <si>
    <t>To recoup as % of remaining life</t>
  </si>
  <si>
    <t>Real-world consump vs. orig</t>
  </si>
  <si>
    <t>Unit conversions</t>
  </si>
  <si>
    <t>gal/kmi</t>
  </si>
  <si>
    <t>Mpg after a given improvement</t>
  </si>
  <si>
    <t>4 gal/kmi</t>
  </si>
  <si>
    <t>1 L/100km</t>
  </si>
  <si>
    <t>CO2 per energy content, 2010 US electrisity vs. gasoline</t>
  </si>
  <si>
    <t>Diffence in sticker consump-tion</t>
  </si>
  <si>
    <t>Added CO2 emissions by extraction, refining, storage, and distribution</t>
  </si>
  <si>
    <t>Vehicle Scrappage and Electrification Energy Costs and Savings</t>
  </si>
  <si>
    <t>by Ron Gremban, CalCars Technical Lead, 4/5/2009</t>
  </si>
  <si>
    <t xml:space="preserve">    by Ron Gremban, CalCars Technical Lead, 9/8/2008; R3, 9/28/08</t>
  </si>
  <si>
    <t xml:space="preserve">    Copyright ® 2008, 2009 by ForSites Corp.  Permission is granted to distribute in its entirety including this notice.</t>
  </si>
  <si>
    <t xml:space="preserve">      R3, 9/28/2008 by RDG</t>
  </si>
  <si>
    <t>See "Main" page for copyright notice.</t>
  </si>
  <si>
    <t>Fields in blue are input fields; black and red numbers are from formulas.</t>
  </si>
  <si>
    <r>
      <t xml:space="preserve">      R4 in progress by RDG.  </t>
    </r>
    <r>
      <rPr>
        <b/>
        <sz val="10"/>
        <color indexed="16"/>
        <rFont val="Verdana"/>
        <family val="2"/>
      </rPr>
      <t>Added "4Scrappage" page.</t>
    </r>
    <r>
      <rPr>
        <sz val="10"/>
        <rFont val="Verdana"/>
        <family val="2"/>
      </rPr>
      <t xml:space="preserve">  Update with information directly from GREET 2.7 paper on cost of manufacture.  Revision not yet finished, 4/5/2009.</t>
    </r>
  </si>
  <si>
    <t>Manuf/ lifetime fuel</t>
  </si>
  <si>
    <t>Energy Effeciency Ratio (grid)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</si>
</sst>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_(* #,##0.000_);_(* \(#,##0.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"/>
    <numFmt numFmtId="182" formatCode="&quot;$&quot;#,##0.0"/>
    <numFmt numFmtId="183" formatCode="&quot;$&quot;#,##0.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9"/>
      <name val="Arial"/>
      <family val="0"/>
    </font>
    <font>
      <b/>
      <sz val="10"/>
      <color indexed="49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sz val="12"/>
      <color indexed="10"/>
      <name val="Arial Black"/>
      <family val="2"/>
    </font>
    <font>
      <b/>
      <sz val="9"/>
      <name val="Arial"/>
      <family val="2"/>
    </font>
    <font>
      <sz val="10"/>
      <color indexed="40"/>
      <name val="Arial"/>
      <family val="0"/>
    </font>
    <font>
      <b/>
      <sz val="10"/>
      <color indexed="10"/>
      <name val="Arial"/>
      <family val="2"/>
    </font>
    <font>
      <b/>
      <sz val="14"/>
      <name val="Verdana"/>
      <family val="0"/>
    </font>
    <font>
      <sz val="14"/>
      <name val="Verdana"/>
      <family val="2"/>
    </font>
    <font>
      <sz val="14"/>
      <name val="Arial"/>
      <family val="2"/>
    </font>
    <font>
      <b/>
      <u val="single"/>
      <sz val="12"/>
      <name val="Verdana"/>
      <family val="0"/>
    </font>
    <font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u val="single"/>
      <sz val="11"/>
      <name val="Verdana"/>
      <family val="0"/>
    </font>
    <font>
      <sz val="11"/>
      <name val="Verdana"/>
      <family val="2"/>
    </font>
    <font>
      <sz val="11"/>
      <name val="Arial"/>
      <family val="2"/>
    </font>
    <font>
      <b/>
      <sz val="10"/>
      <color indexed="16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0" fontId="7" fillId="0" borderId="0" xfId="15" applyNumberFormat="1" applyFont="1" applyAlignment="1">
      <alignment/>
    </xf>
    <xf numFmtId="171" fontId="7" fillId="0" borderId="0" xfId="15" applyNumberFormat="1" applyFont="1" applyAlignment="1">
      <alignment/>
    </xf>
    <xf numFmtId="171" fontId="7" fillId="0" borderId="0" xfId="0" applyNumberFormat="1" applyFont="1" applyAlignment="1">
      <alignment/>
    </xf>
    <xf numFmtId="9" fontId="7" fillId="0" borderId="0" xfId="21" applyFont="1" applyAlignment="1">
      <alignment/>
    </xf>
    <xf numFmtId="171" fontId="7" fillId="0" borderId="0" xfId="15" applyNumberFormat="1" applyFont="1" applyAlignment="1">
      <alignment horizontal="right"/>
    </xf>
    <xf numFmtId="1" fontId="6" fillId="0" borderId="0" xfId="0" applyNumberFormat="1" applyFont="1" applyAlignment="1" quotePrefix="1">
      <alignment/>
    </xf>
    <xf numFmtId="170" fontId="9" fillId="0" borderId="0" xfId="15" applyNumberFormat="1" applyFont="1" applyAlignment="1">
      <alignment/>
    </xf>
    <xf numFmtId="171" fontId="9" fillId="0" borderId="0" xfId="15" applyNumberFormat="1" applyFont="1" applyAlignment="1">
      <alignment/>
    </xf>
    <xf numFmtId="171" fontId="9" fillId="0" borderId="0" xfId="0" applyNumberFormat="1" applyFont="1" applyAlignment="1">
      <alignment/>
    </xf>
    <xf numFmtId="9" fontId="9" fillId="0" borderId="0" xfId="2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/>
    </xf>
    <xf numFmtId="0" fontId="10" fillId="0" borderId="0" xfId="0" applyFont="1" applyAlignment="1">
      <alignment horizontal="right"/>
    </xf>
    <xf numFmtId="169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" fontId="11" fillId="0" borderId="0" xfId="0" applyNumberFormat="1" applyFont="1" applyAlignment="1" quotePrefix="1">
      <alignment/>
    </xf>
    <xf numFmtId="1" fontId="1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70" fontId="0" fillId="0" borderId="0" xfId="15" applyNumberFormat="1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15" applyNumberFormat="1" applyFont="1" applyAlignment="1">
      <alignment/>
    </xf>
    <xf numFmtId="170" fontId="1" fillId="0" borderId="0" xfId="15" applyNumberFormat="1" applyFont="1" applyAlignment="1">
      <alignment/>
    </xf>
    <xf numFmtId="171" fontId="1" fillId="0" borderId="0" xfId="15" applyNumberFormat="1" applyFont="1" applyAlignment="1">
      <alignment/>
    </xf>
    <xf numFmtId="171" fontId="1" fillId="0" borderId="0" xfId="0" applyNumberFormat="1" applyFont="1" applyAlignment="1">
      <alignment/>
    </xf>
    <xf numFmtId="9" fontId="1" fillId="0" borderId="0" xfId="21" applyFont="1" applyAlignment="1">
      <alignment/>
    </xf>
    <xf numFmtId="170" fontId="0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171" fontId="0" fillId="0" borderId="0" xfId="0" applyNumberFormat="1" applyFont="1" applyAlignment="1">
      <alignment/>
    </xf>
    <xf numFmtId="9" fontId="0" fillId="0" borderId="0" xfId="21" applyFont="1" applyAlignment="1">
      <alignment/>
    </xf>
    <xf numFmtId="9" fontId="0" fillId="0" borderId="0" xfId="21" applyFont="1" applyAlignment="1">
      <alignment/>
    </xf>
    <xf numFmtId="172" fontId="10" fillId="0" borderId="0" xfId="0" applyNumberFormat="1" applyFont="1" applyAlignment="1">
      <alignment/>
    </xf>
    <xf numFmtId="0" fontId="0" fillId="0" borderId="0" xfId="0" applyAlignment="1">
      <alignment horizontal="left"/>
    </xf>
    <xf numFmtId="171" fontId="0" fillId="0" borderId="0" xfId="0" applyNumberFormat="1" applyAlignment="1">
      <alignment horizontal="right"/>
    </xf>
    <xf numFmtId="9" fontId="0" fillId="0" borderId="0" xfId="21" applyAlignment="1">
      <alignment horizontal="right"/>
    </xf>
    <xf numFmtId="9" fontId="10" fillId="0" borderId="0" xfId="21" applyFont="1" applyAlignment="1">
      <alignment/>
    </xf>
    <xf numFmtId="9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" fontId="10" fillId="0" borderId="0" xfId="21" applyNumberFormat="1" applyFont="1" applyAlignment="1">
      <alignment/>
    </xf>
    <xf numFmtId="9" fontId="5" fillId="0" borderId="0" xfId="21" applyFont="1" applyAlignment="1">
      <alignment horizontal="right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69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9" fontId="1" fillId="0" borderId="0" xfId="21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71" fontId="1" fillId="0" borderId="0" xfId="0" applyNumberFormat="1" applyFont="1" applyAlignment="1">
      <alignment horizontal="right"/>
    </xf>
    <xf numFmtId="171" fontId="11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171" fontId="10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11" fillId="0" borderId="0" xfId="0" applyFont="1" applyAlignment="1">
      <alignment/>
    </xf>
    <xf numFmtId="9" fontId="11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7" fillId="0" borderId="0" xfId="15" applyNumberFormat="1" applyFont="1" applyAlignment="1">
      <alignment/>
    </xf>
    <xf numFmtId="0" fontId="1" fillId="2" borderId="0" xfId="0" applyFont="1" applyFill="1" applyAlignment="1">
      <alignment horizontal="center"/>
    </xf>
    <xf numFmtId="171" fontId="0" fillId="2" borderId="0" xfId="15" applyNumberFormat="1" applyFill="1" applyAlignment="1">
      <alignment/>
    </xf>
    <xf numFmtId="171" fontId="9" fillId="2" borderId="0" xfId="15" applyNumberFormat="1" applyFont="1" applyFill="1" applyAlignment="1">
      <alignment/>
    </xf>
    <xf numFmtId="171" fontId="1" fillId="2" borderId="0" xfId="15" applyNumberFormat="1" applyFont="1" applyFill="1" applyAlignment="1">
      <alignment/>
    </xf>
    <xf numFmtId="171" fontId="0" fillId="2" borderId="0" xfId="15" applyNumberFormat="1" applyFont="1" applyFill="1" applyAlignment="1">
      <alignment horizontal="right"/>
    </xf>
    <xf numFmtId="171" fontId="7" fillId="2" borderId="0" xfId="15" applyNumberFormat="1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9" fontId="0" fillId="2" borderId="0" xfId="21" applyFill="1" applyAlignment="1">
      <alignment horizontal="right"/>
    </xf>
    <xf numFmtId="9" fontId="1" fillId="2" borderId="0" xfId="21" applyFont="1" applyFill="1" applyAlignment="1">
      <alignment horizontal="right"/>
    </xf>
    <xf numFmtId="9" fontId="0" fillId="2" borderId="0" xfId="21" applyFont="1" applyFill="1" applyAlignment="1">
      <alignment horizontal="right"/>
    </xf>
    <xf numFmtId="0" fontId="15" fillId="2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171" fontId="8" fillId="2" borderId="0" xfId="15" applyNumberFormat="1" applyFont="1" applyFill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7" fontId="9" fillId="0" borderId="0" xfId="21" applyNumberFormat="1" applyFont="1" applyAlignment="1">
      <alignment/>
    </xf>
    <xf numFmtId="177" fontId="1" fillId="0" borderId="0" xfId="21" applyNumberFormat="1" applyFont="1" applyAlignment="1">
      <alignment/>
    </xf>
    <xf numFmtId="171" fontId="0" fillId="2" borderId="0" xfId="15" applyNumberFormat="1" applyFont="1" applyFill="1" applyAlignment="1">
      <alignment/>
    </xf>
    <xf numFmtId="171" fontId="7" fillId="2" borderId="0" xfId="15" applyNumberFormat="1" applyFont="1" applyFill="1" applyAlignment="1">
      <alignment/>
    </xf>
    <xf numFmtId="9" fontId="0" fillId="0" borderId="0" xfId="21" applyAlignment="1">
      <alignment/>
    </xf>
    <xf numFmtId="1" fontId="10" fillId="0" borderId="0" xfId="0" applyNumberFormat="1" applyFont="1" applyAlignment="1" quotePrefix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17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1" fontId="11" fillId="0" borderId="0" xfId="15" applyNumberFormat="1" applyFont="1" applyAlignment="1">
      <alignment/>
    </xf>
    <xf numFmtId="9" fontId="7" fillId="0" borderId="0" xfId="21" applyFont="1" applyAlignment="1">
      <alignment horizontal="right"/>
    </xf>
    <xf numFmtId="171" fontId="8" fillId="2" borderId="0" xfId="15" applyNumberFormat="1" applyFont="1" applyFill="1" applyAlignment="1">
      <alignment/>
    </xf>
    <xf numFmtId="1" fontId="8" fillId="2" borderId="0" xfId="15" applyNumberFormat="1" applyFont="1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170" fontId="0" fillId="3" borderId="0" xfId="15" applyNumberFormat="1" applyFont="1" applyFill="1" applyAlignment="1">
      <alignment/>
    </xf>
    <xf numFmtId="171" fontId="0" fillId="3" borderId="0" xfId="15" applyNumberFormat="1" applyFont="1" applyFill="1" applyAlignment="1">
      <alignment/>
    </xf>
    <xf numFmtId="171" fontId="8" fillId="3" borderId="0" xfId="15" applyNumberFormat="1" applyFont="1" applyFill="1" applyAlignment="1">
      <alignment/>
    </xf>
    <xf numFmtId="171" fontId="0" fillId="3" borderId="0" xfId="0" applyNumberFormat="1" applyFont="1" applyFill="1" applyAlignment="1">
      <alignment/>
    </xf>
    <xf numFmtId="9" fontId="0" fillId="3" borderId="0" xfId="21" applyFont="1" applyFill="1" applyAlignment="1">
      <alignment/>
    </xf>
    <xf numFmtId="0" fontId="1" fillId="3" borderId="0" xfId="0" applyFont="1" applyFill="1" applyAlignment="1">
      <alignment/>
    </xf>
    <xf numFmtId="170" fontId="1" fillId="3" borderId="0" xfId="15" applyNumberFormat="1" applyFont="1" applyFill="1" applyAlignment="1">
      <alignment/>
    </xf>
    <xf numFmtId="171" fontId="1" fillId="3" borderId="0" xfId="15" applyNumberFormat="1" applyFont="1" applyFill="1" applyAlignment="1">
      <alignment/>
    </xf>
    <xf numFmtId="171" fontId="9" fillId="3" borderId="0" xfId="0" applyNumberFormat="1" applyFont="1" applyFill="1" applyAlignment="1">
      <alignment/>
    </xf>
    <xf numFmtId="9" fontId="9" fillId="3" borderId="0" xfId="21" applyFont="1" applyFill="1" applyAlignment="1">
      <alignment/>
    </xf>
    <xf numFmtId="170" fontId="9" fillId="3" borderId="0" xfId="15" applyNumberFormat="1" applyFont="1" applyFill="1" applyAlignment="1">
      <alignment/>
    </xf>
    <xf numFmtId="171" fontId="9" fillId="3" borderId="0" xfId="15" applyNumberFormat="1" applyFont="1" applyFill="1" applyAlignment="1">
      <alignment/>
    </xf>
    <xf numFmtId="171" fontId="1" fillId="3" borderId="0" xfId="0" applyNumberFormat="1" applyFont="1" applyFill="1" applyAlignment="1">
      <alignment/>
    </xf>
    <xf numFmtId="9" fontId="1" fillId="3" borderId="0" xfId="21" applyFont="1" applyFill="1" applyAlignment="1">
      <alignment/>
    </xf>
    <xf numFmtId="170" fontId="0" fillId="3" borderId="0" xfId="15" applyNumberFormat="1" applyFont="1" applyFill="1" applyAlignment="1">
      <alignment/>
    </xf>
    <xf numFmtId="171" fontId="0" fillId="3" borderId="0" xfId="0" applyNumberFormat="1" applyFont="1" applyFill="1" applyAlignment="1">
      <alignment/>
    </xf>
    <xf numFmtId="9" fontId="13" fillId="3" borderId="0" xfId="21" applyFont="1" applyFill="1" applyAlignment="1">
      <alignment/>
    </xf>
    <xf numFmtId="9" fontId="0" fillId="3" borderId="0" xfId="21" applyFont="1" applyFill="1" applyAlignment="1">
      <alignment/>
    </xf>
    <xf numFmtId="0" fontId="0" fillId="3" borderId="0" xfId="15" applyNumberFormat="1" applyFont="1" applyFill="1" applyAlignment="1">
      <alignment/>
    </xf>
    <xf numFmtId="170" fontId="7" fillId="3" borderId="0" xfId="15" applyNumberFormat="1" applyFont="1" applyFill="1" applyAlignment="1">
      <alignment/>
    </xf>
    <xf numFmtId="171" fontId="7" fillId="3" borderId="0" xfId="15" applyNumberFormat="1" applyFont="1" applyFill="1" applyAlignment="1">
      <alignment/>
    </xf>
    <xf numFmtId="171" fontId="7" fillId="3" borderId="0" xfId="0" applyNumberFormat="1" applyFont="1" applyFill="1" applyAlignment="1">
      <alignment/>
    </xf>
    <xf numFmtId="171" fontId="7" fillId="3" borderId="0" xfId="0" applyNumberFormat="1" applyFont="1" applyFill="1" applyAlignment="1">
      <alignment/>
    </xf>
    <xf numFmtId="9" fontId="7" fillId="3" borderId="0" xfId="21" applyFont="1" applyFill="1" applyAlignment="1">
      <alignment/>
    </xf>
    <xf numFmtId="9" fontId="14" fillId="3" borderId="0" xfId="21" applyFont="1" applyFill="1" applyAlignment="1">
      <alignment/>
    </xf>
    <xf numFmtId="0" fontId="1" fillId="0" borderId="2" xfId="0" applyFont="1" applyBorder="1" applyAlignment="1">
      <alignment horizontal="center" wrapText="1"/>
    </xf>
    <xf numFmtId="171" fontId="0" fillId="0" borderId="0" xfId="15" applyNumberFormat="1" applyAlignment="1">
      <alignment/>
    </xf>
    <xf numFmtId="9" fontId="0" fillId="0" borderId="0" xfId="0" applyNumberFormat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9" fontId="5" fillId="0" borderId="0" xfId="21" applyFont="1" applyAlignment="1">
      <alignment horizontal="right"/>
    </xf>
    <xf numFmtId="9" fontId="5" fillId="0" borderId="0" xfId="21" applyFont="1" applyAlignment="1">
      <alignment/>
    </xf>
    <xf numFmtId="2" fontId="5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71" fontId="5" fillId="0" borderId="0" xfId="15" applyNumberFormat="1" applyFont="1" applyAlignment="1">
      <alignment/>
    </xf>
    <xf numFmtId="9" fontId="5" fillId="0" borderId="0" xfId="21" applyFont="1" applyAlignment="1">
      <alignment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15" applyNumberFormat="1" applyAlignment="1">
      <alignment/>
    </xf>
    <xf numFmtId="10" fontId="5" fillId="0" borderId="0" xfId="21" applyNumberFormat="1" applyFont="1" applyAlignment="1">
      <alignment/>
    </xf>
    <xf numFmtId="1" fontId="0" fillId="0" borderId="0" xfId="15" applyNumberFormat="1" applyAlignment="1">
      <alignment/>
    </xf>
    <xf numFmtId="181" fontId="1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1" fontId="1" fillId="0" borderId="0" xfId="15" applyNumberFormat="1" applyFont="1" applyAlignment="1">
      <alignment/>
    </xf>
    <xf numFmtId="169" fontId="1" fillId="0" borderId="0" xfId="15" applyNumberFormat="1" applyFont="1" applyAlignment="1">
      <alignment/>
    </xf>
    <xf numFmtId="180" fontId="1" fillId="0" borderId="0" xfId="17" applyNumberFormat="1" applyFont="1" applyAlignment="1">
      <alignment/>
    </xf>
    <xf numFmtId="181" fontId="6" fillId="0" borderId="2" xfId="0" applyNumberFormat="1" applyFont="1" applyBorder="1" applyAlignment="1">
      <alignment horizontal="center" wrapText="1"/>
    </xf>
    <xf numFmtId="44" fontId="1" fillId="0" borderId="0" xfId="17" applyNumberFormat="1" applyFont="1" applyAlignment="1">
      <alignment/>
    </xf>
    <xf numFmtId="183" fontId="6" fillId="0" borderId="2" xfId="0" applyNumberFormat="1" applyFont="1" applyBorder="1" applyAlignment="1">
      <alignment horizontal="center" wrapText="1"/>
    </xf>
    <xf numFmtId="183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 quotePrefix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9" fontId="17" fillId="0" borderId="0" xfId="21" applyFont="1" applyAlignment="1">
      <alignment/>
    </xf>
    <xf numFmtId="0" fontId="24" fillId="0" borderId="0" xfId="0" applyFont="1" applyFill="1" applyAlignment="1">
      <alignment horizontal="left"/>
    </xf>
    <xf numFmtId="1" fontId="17" fillId="0" borderId="0" xfId="15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9" fontId="17" fillId="0" borderId="0" xfId="0" applyNumberFormat="1" applyFont="1" applyAlignment="1">
      <alignment/>
    </xf>
    <xf numFmtId="171" fontId="17" fillId="0" borderId="0" xfId="15" applyNumberFormat="1" applyFont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27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2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2" fillId="3" borderId="0" xfId="0" applyFont="1" applyFill="1" applyAlignment="1" quotePrefix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7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67"/>
  <sheetViews>
    <sheetView workbookViewId="0" topLeftCell="A118">
      <selection activeCell="M12" sqref="M12"/>
    </sheetView>
  </sheetViews>
  <sheetFormatPr defaultColWidth="9.140625" defaultRowHeight="12.75"/>
  <cols>
    <col min="1" max="1" width="36.57421875" style="0" customWidth="1"/>
    <col min="2" max="19" width="9.7109375" style="0" customWidth="1"/>
  </cols>
  <sheetData>
    <row r="1" spans="1:2" ht="12.75">
      <c r="A1" s="1" t="s">
        <v>10</v>
      </c>
      <c r="B1" s="1"/>
    </row>
    <row r="2" spans="1:2" ht="12.75">
      <c r="A2" s="1" t="s">
        <v>326</v>
      </c>
      <c r="B2" s="1"/>
    </row>
    <row r="3" spans="1:2" ht="12.75">
      <c r="A3" s="1" t="s">
        <v>327</v>
      </c>
      <c r="B3" s="1"/>
    </row>
    <row r="4" spans="1:65" s="164" customFormat="1" ht="12.75">
      <c r="A4" s="197" t="s">
        <v>328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6"/>
      <c r="AX4" s="166"/>
      <c r="AY4" s="166"/>
      <c r="AZ4" s="166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</row>
    <row r="5" spans="1:65" s="164" customFormat="1" ht="12.75">
      <c r="A5" s="197" t="s">
        <v>331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6"/>
      <c r="AX5" s="166"/>
      <c r="AY5" s="166"/>
      <c r="AZ5" s="166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</row>
    <row r="7" spans="1:8" ht="12.75">
      <c r="A7" s="1" t="s">
        <v>66</v>
      </c>
      <c r="B7" s="123" t="s">
        <v>40</v>
      </c>
      <c r="C7" s="1"/>
      <c r="D7" s="121" t="s">
        <v>44</v>
      </c>
      <c r="E7" s="1"/>
      <c r="F7" s="222" t="s">
        <v>41</v>
      </c>
      <c r="G7" s="1"/>
      <c r="H7" s="199" t="s">
        <v>42</v>
      </c>
    </row>
    <row r="8" spans="1:8" ht="12.75">
      <c r="A8" s="1" t="s">
        <v>104</v>
      </c>
      <c r="B8" s="29"/>
      <c r="D8" s="9"/>
      <c r="F8" s="14"/>
      <c r="H8" s="13"/>
    </row>
    <row r="10" ht="15.75">
      <c r="A10" s="79" t="s">
        <v>68</v>
      </c>
    </row>
    <row r="11" spans="1:5" ht="12.75">
      <c r="A11" t="s">
        <v>16</v>
      </c>
      <c r="C11" s="9">
        <v>36.4</v>
      </c>
      <c r="D11" s="9" t="s">
        <v>3</v>
      </c>
      <c r="E11" t="s">
        <v>181</v>
      </c>
    </row>
    <row r="12" spans="1:10" ht="12.75">
      <c r="A12" t="s">
        <v>73</v>
      </c>
      <c r="C12" s="9">
        <v>8.9</v>
      </c>
      <c r="D12" s="9" t="s">
        <v>15</v>
      </c>
      <c r="E12" s="58" t="s">
        <v>26</v>
      </c>
      <c r="G12" s="11">
        <f>C12*1000/C11</f>
        <v>244.5054945054945</v>
      </c>
      <c r="H12" s="9" t="s">
        <v>17</v>
      </c>
      <c r="I12" s="9"/>
      <c r="J12" s="9"/>
    </row>
    <row r="13" spans="1:11" ht="12.75">
      <c r="A13" t="s">
        <v>77</v>
      </c>
      <c r="B13" s="7"/>
      <c r="C13" s="11"/>
      <c r="D13" s="12"/>
      <c r="E13" s="83" t="s">
        <v>75</v>
      </c>
      <c r="F13" s="36">
        <v>236</v>
      </c>
      <c r="G13" s="12" t="s">
        <v>74</v>
      </c>
      <c r="H13" s="12"/>
      <c r="I13" s="83" t="s">
        <v>76</v>
      </c>
      <c r="J13" s="36">
        <v>500</v>
      </c>
      <c r="K13" s="12" t="s">
        <v>74</v>
      </c>
    </row>
    <row r="14" spans="1:4" ht="12.75">
      <c r="A14" t="s">
        <v>18</v>
      </c>
      <c r="C14" s="9">
        <v>3413</v>
      </c>
      <c r="D14" s="9" t="s">
        <v>19</v>
      </c>
    </row>
    <row r="15" spans="1:4" ht="12.75">
      <c r="A15" t="s">
        <v>20</v>
      </c>
      <c r="C15" s="9">
        <v>1000</v>
      </c>
      <c r="D15" s="9" t="s">
        <v>3</v>
      </c>
    </row>
    <row r="16" spans="1:6" ht="12.75">
      <c r="A16" t="s">
        <v>21</v>
      </c>
      <c r="C16" s="9">
        <v>1000</v>
      </c>
      <c r="D16" s="9" t="s">
        <v>22</v>
      </c>
      <c r="E16" s="9">
        <v>1</v>
      </c>
      <c r="F16" s="9" t="s">
        <v>31</v>
      </c>
    </row>
    <row r="17" spans="3:6" ht="12.75">
      <c r="C17" s="9"/>
      <c r="D17" s="9"/>
      <c r="E17" s="9"/>
      <c r="F17" s="9"/>
    </row>
    <row r="18" spans="1:6" ht="15.75">
      <c r="A18" s="79" t="s">
        <v>65</v>
      </c>
      <c r="C18" s="9"/>
      <c r="D18" s="9"/>
      <c r="E18" s="9"/>
      <c r="F18" s="9"/>
    </row>
    <row r="19" spans="1:8" ht="12.75">
      <c r="A19" s="12" t="s">
        <v>154</v>
      </c>
      <c r="B19" s="83" t="s">
        <v>156</v>
      </c>
      <c r="C19" s="9">
        <v>248</v>
      </c>
      <c r="D19" s="9" t="s">
        <v>160</v>
      </c>
      <c r="E19" s="64"/>
      <c r="F19" s="83" t="s">
        <v>161</v>
      </c>
      <c r="G19" s="64">
        <v>920</v>
      </c>
      <c r="H19" s="63" t="s">
        <v>160</v>
      </c>
    </row>
    <row r="20" spans="1:8" ht="12.75">
      <c r="A20" s="12" t="s">
        <v>155</v>
      </c>
      <c r="B20" s="83" t="s">
        <v>156</v>
      </c>
      <c r="C20" s="9">
        <v>142</v>
      </c>
      <c r="D20" s="9" t="s">
        <v>159</v>
      </c>
      <c r="E20" s="64"/>
      <c r="F20" s="83" t="s">
        <v>161</v>
      </c>
      <c r="G20" s="64">
        <f>G19*C20*0.75/C19</f>
        <v>395.0806451612903</v>
      </c>
      <c r="H20" s="63" t="s">
        <v>159</v>
      </c>
    </row>
    <row r="21" spans="1:8" ht="12.75">
      <c r="A21" s="12" t="s">
        <v>28</v>
      </c>
      <c r="B21" s="29"/>
      <c r="C21" s="124">
        <f>E21*G21</f>
        <v>180000</v>
      </c>
      <c r="D21" s="123" t="s">
        <v>8</v>
      </c>
      <c r="E21" s="29">
        <v>15</v>
      </c>
      <c r="F21" s="29" t="s">
        <v>29</v>
      </c>
      <c r="G21" s="30">
        <v>12000</v>
      </c>
      <c r="H21" s="29" t="s">
        <v>129</v>
      </c>
    </row>
    <row r="22" spans="1:7" ht="12.75">
      <c r="A22" s="12" t="s">
        <v>130</v>
      </c>
      <c r="B22" s="29"/>
      <c r="C22" s="61">
        <v>0.8</v>
      </c>
      <c r="D22" s="63">
        <v>40</v>
      </c>
      <c r="E22" s="62">
        <v>0.5</v>
      </c>
      <c r="F22" s="63">
        <v>25</v>
      </c>
      <c r="G22" t="s">
        <v>131</v>
      </c>
    </row>
    <row r="23" spans="1:6" ht="12.75">
      <c r="A23" s="12" t="s">
        <v>57</v>
      </c>
      <c r="B23" s="29"/>
      <c r="C23" s="64">
        <v>250</v>
      </c>
      <c r="D23" s="63" t="s">
        <v>58</v>
      </c>
      <c r="E23" s="64">
        <v>500</v>
      </c>
      <c r="F23" s="63" t="s">
        <v>59</v>
      </c>
    </row>
    <row r="24" spans="1:7" ht="12.75">
      <c r="A24" s="12" t="s">
        <v>157</v>
      </c>
      <c r="B24" s="29"/>
      <c r="C24" s="30">
        <v>150</v>
      </c>
      <c r="D24" s="29" t="s">
        <v>51</v>
      </c>
      <c r="E24" s="57">
        <f>C24*0.8</f>
        <v>120</v>
      </c>
      <c r="F24" s="29" t="s">
        <v>51</v>
      </c>
      <c r="G24" s="29" t="s">
        <v>124</v>
      </c>
    </row>
    <row r="25" spans="1:7" ht="12.75">
      <c r="A25" s="12" t="s">
        <v>158</v>
      </c>
      <c r="B25" s="29"/>
      <c r="C25" s="124">
        <f>E24*0.8</f>
        <v>96</v>
      </c>
      <c r="D25" s="123" t="s">
        <v>51</v>
      </c>
      <c r="E25" s="122">
        <f>C25/2.2</f>
        <v>43.63636363636363</v>
      </c>
      <c r="F25" s="123" t="s">
        <v>52</v>
      </c>
      <c r="G25" s="29" t="s">
        <v>124</v>
      </c>
    </row>
    <row r="26" spans="8:13" ht="12.75">
      <c r="H26" s="3"/>
      <c r="I26" s="3"/>
      <c r="J26" s="3"/>
      <c r="K26" s="3"/>
      <c r="L26" s="3"/>
      <c r="M26" s="3"/>
    </row>
    <row r="27" spans="1:13" ht="12.75">
      <c r="A27" t="s">
        <v>186</v>
      </c>
      <c r="H27" s="3"/>
      <c r="I27" s="3"/>
      <c r="J27" s="3"/>
      <c r="K27" s="3"/>
      <c r="L27" s="3"/>
      <c r="M27" s="3"/>
    </row>
    <row r="28" ht="12.75">
      <c r="A28" t="s">
        <v>190</v>
      </c>
    </row>
    <row r="29" ht="12.75">
      <c r="A29" t="s">
        <v>191</v>
      </c>
    </row>
    <row r="30" ht="12.75">
      <c r="A30" t="s">
        <v>187</v>
      </c>
    </row>
    <row r="31" ht="12.75">
      <c r="A31" t="s">
        <v>192</v>
      </c>
    </row>
    <row r="32" ht="12.75">
      <c r="A32" t="s">
        <v>193</v>
      </c>
    </row>
    <row r="34" spans="1:13" ht="15.75">
      <c r="A34" s="79" t="s">
        <v>27</v>
      </c>
      <c r="B34" s="2" t="s">
        <v>36</v>
      </c>
      <c r="D34" s="225" t="s">
        <v>27</v>
      </c>
      <c r="E34" s="225"/>
      <c r="F34" s="225"/>
      <c r="G34" s="225"/>
      <c r="H34" s="225"/>
      <c r="I34" s="225"/>
      <c r="J34" s="3"/>
      <c r="K34" s="3"/>
      <c r="L34" s="3"/>
      <c r="M34" s="3"/>
    </row>
    <row r="35" spans="1:13" ht="25.5">
      <c r="A35" s="1" t="s">
        <v>0</v>
      </c>
      <c r="B35" s="2" t="s">
        <v>37</v>
      </c>
      <c r="C35" s="8" t="s">
        <v>185</v>
      </c>
      <c r="D35" s="2" t="s">
        <v>38</v>
      </c>
      <c r="E35" s="2" t="s">
        <v>35</v>
      </c>
      <c r="F35" s="2" t="s">
        <v>24</v>
      </c>
      <c r="H35" s="2" t="s">
        <v>23</v>
      </c>
      <c r="I35" s="4"/>
      <c r="K35" s="4"/>
      <c r="M35" s="2"/>
    </row>
    <row r="36" spans="1:13" ht="12.75">
      <c r="A36" t="s">
        <v>25</v>
      </c>
      <c r="B36" s="9">
        <v>3330</v>
      </c>
      <c r="C36" s="9"/>
      <c r="D36" s="9">
        <v>104</v>
      </c>
      <c r="E36" s="38">
        <f>D36*1000/B36</f>
        <v>31.23123123123123</v>
      </c>
      <c r="F36" s="38">
        <f>E36*1000/C$14</f>
        <v>9.150668394735199</v>
      </c>
      <c r="G36" s="39">
        <f aca="true" t="shared" si="0" ref="G36:G45">F36/C$11</f>
        <v>0.2513919888663516</v>
      </c>
      <c r="M36" s="5"/>
    </row>
    <row r="37" spans="1:13" ht="12.75">
      <c r="A37" t="s">
        <v>45</v>
      </c>
      <c r="B37" s="9">
        <v>2810</v>
      </c>
      <c r="C37" s="9"/>
      <c r="D37" s="9">
        <v>104</v>
      </c>
      <c r="E37" s="38">
        <f>D37*1000/B37</f>
        <v>37.01067615658363</v>
      </c>
      <c r="F37" s="38">
        <f>E37*1000/C$14</f>
        <v>10.844030517604345</v>
      </c>
      <c r="G37" s="39">
        <f t="shared" si="0"/>
        <v>0.2979129263078117</v>
      </c>
      <c r="M37" s="5"/>
    </row>
    <row r="38" spans="1:13" ht="12.75">
      <c r="A38" t="s">
        <v>189</v>
      </c>
      <c r="B38" s="175">
        <v>3000</v>
      </c>
      <c r="C38" s="9"/>
      <c r="D38" s="36">
        <f>E38*B38/1000</f>
        <v>102.39000000000001</v>
      </c>
      <c r="E38" s="38">
        <f>F38*C$14/1000</f>
        <v>34.13</v>
      </c>
      <c r="F38" s="174">
        <v>10</v>
      </c>
      <c r="G38" s="39">
        <f t="shared" si="0"/>
        <v>0.27472527472527475</v>
      </c>
      <c r="H38" t="s">
        <v>194</v>
      </c>
      <c r="M38" s="5"/>
    </row>
    <row r="39" spans="1:13" ht="12.75">
      <c r="A39" t="s">
        <v>188</v>
      </c>
      <c r="B39" s="9">
        <v>2000</v>
      </c>
      <c r="C39" s="9"/>
      <c r="D39" s="173">
        <v>45.15</v>
      </c>
      <c r="E39" s="38">
        <f>D39*1000/B39</f>
        <v>22.575</v>
      </c>
      <c r="F39" s="38">
        <f aca="true" t="shared" si="1" ref="F39:F45">E39*1000/C$14</f>
        <v>6.614415470260767</v>
      </c>
      <c r="G39" s="39">
        <f t="shared" si="0"/>
        <v>0.18171471072144965</v>
      </c>
      <c r="M39" s="5"/>
    </row>
    <row r="40" spans="1:13" ht="12.75">
      <c r="A40" t="s">
        <v>182</v>
      </c>
      <c r="B40" s="9">
        <v>2000</v>
      </c>
      <c r="C40" s="9">
        <v>22.1</v>
      </c>
      <c r="D40" s="173">
        <v>30.7</v>
      </c>
      <c r="E40" s="38">
        <f>D40*1000/B40</f>
        <v>15.35</v>
      </c>
      <c r="F40" s="38">
        <f t="shared" si="1"/>
        <v>4.4975095224142985</v>
      </c>
      <c r="G40" s="39">
        <f t="shared" si="0"/>
        <v>0.12355795391248073</v>
      </c>
      <c r="M40" s="5"/>
    </row>
    <row r="41" spans="1:13" ht="12.75">
      <c r="A41" t="s">
        <v>183</v>
      </c>
      <c r="B41" s="9">
        <v>2000</v>
      </c>
      <c r="C41" s="9">
        <v>84.3</v>
      </c>
      <c r="D41" s="173">
        <v>35.2</v>
      </c>
      <c r="E41" s="38">
        <f>D41*1000/B41</f>
        <v>17.6</v>
      </c>
      <c r="F41" s="38">
        <f t="shared" si="1"/>
        <v>5.156753589217697</v>
      </c>
      <c r="G41" s="39">
        <f t="shared" si="0"/>
        <v>0.14166905464883783</v>
      </c>
      <c r="M41" s="5"/>
    </row>
    <row r="42" spans="1:13" ht="12.75">
      <c r="A42" t="s">
        <v>184</v>
      </c>
      <c r="B42" s="9">
        <v>2000</v>
      </c>
      <c r="C42" s="9">
        <v>33.7</v>
      </c>
      <c r="D42" s="173">
        <v>27.5</v>
      </c>
      <c r="E42" s="38">
        <f>D42*1000/B42</f>
        <v>13.75</v>
      </c>
      <c r="F42" s="38">
        <f t="shared" si="1"/>
        <v>4.0287137415763254</v>
      </c>
      <c r="G42" s="39">
        <f t="shared" si="0"/>
        <v>0.11067894894440455</v>
      </c>
      <c r="M42" s="5"/>
    </row>
    <row r="43" spans="1:13" ht="12.75">
      <c r="A43" s="29" t="s">
        <v>46</v>
      </c>
      <c r="B43" s="31" t="s">
        <v>11</v>
      </c>
      <c r="C43" s="31"/>
      <c r="D43" s="31" t="s">
        <v>11</v>
      </c>
      <c r="E43" s="32">
        <f>E38</f>
        <v>34.13</v>
      </c>
      <c r="F43" s="32">
        <f t="shared" si="1"/>
        <v>10</v>
      </c>
      <c r="G43" s="33">
        <f t="shared" si="0"/>
        <v>0.27472527472527475</v>
      </c>
      <c r="H43" t="s">
        <v>197</v>
      </c>
      <c r="M43" s="5"/>
    </row>
    <row r="44" spans="1:13" ht="12.75">
      <c r="A44" s="29" t="s">
        <v>125</v>
      </c>
      <c r="B44" s="31" t="s">
        <v>11</v>
      </c>
      <c r="C44" s="31"/>
      <c r="D44" s="31" t="s">
        <v>11</v>
      </c>
      <c r="E44" s="32">
        <f>E43</f>
        <v>34.13</v>
      </c>
      <c r="F44" s="32">
        <f t="shared" si="1"/>
        <v>10</v>
      </c>
      <c r="G44" s="33">
        <f t="shared" si="0"/>
        <v>0.27472527472527475</v>
      </c>
      <c r="H44" t="s">
        <v>196</v>
      </c>
      <c r="M44" s="5"/>
    </row>
    <row r="45" spans="1:13" ht="12.75">
      <c r="A45" s="29" t="s">
        <v>126</v>
      </c>
      <c r="B45" s="31" t="s">
        <v>11</v>
      </c>
      <c r="C45" s="31"/>
      <c r="D45" s="31" t="s">
        <v>11</v>
      </c>
      <c r="E45" s="32">
        <f>E44</f>
        <v>34.13</v>
      </c>
      <c r="F45" s="32">
        <f t="shared" si="1"/>
        <v>10</v>
      </c>
      <c r="G45" s="33">
        <f t="shared" si="0"/>
        <v>0.27472527472527475</v>
      </c>
      <c r="H45" t="s">
        <v>195</v>
      </c>
      <c r="M45" s="5"/>
    </row>
    <row r="47" s="1" customFormat="1" ht="12.75">
      <c r="A47" s="1" t="s">
        <v>127</v>
      </c>
    </row>
    <row r="48" s="1" customFormat="1" ht="12.75"/>
    <row r="49" spans="1:13" s="1" customFormat="1" ht="15.75">
      <c r="A49" s="79" t="s">
        <v>67</v>
      </c>
      <c r="B49" s="2" t="s">
        <v>32</v>
      </c>
      <c r="C49" s="2" t="s">
        <v>54</v>
      </c>
      <c r="D49" s="2" t="s">
        <v>56</v>
      </c>
      <c r="E49" s="2" t="s">
        <v>49</v>
      </c>
      <c r="F49" s="2" t="s">
        <v>48</v>
      </c>
      <c r="G49" s="2" t="s">
        <v>53</v>
      </c>
      <c r="H49" s="2" t="s">
        <v>60</v>
      </c>
      <c r="I49" s="2" t="s">
        <v>63</v>
      </c>
      <c r="J49" s="2" t="s">
        <v>1</v>
      </c>
      <c r="K49" s="1" t="s">
        <v>99</v>
      </c>
      <c r="L49" s="2" t="s">
        <v>112</v>
      </c>
      <c r="M49" s="2" t="s">
        <v>113</v>
      </c>
    </row>
    <row r="50" spans="3:13" s="1" customFormat="1" ht="12.75">
      <c r="C50" s="2" t="s">
        <v>55</v>
      </c>
      <c r="D50" s="2" t="s">
        <v>55</v>
      </c>
      <c r="E50" s="2" t="s">
        <v>50</v>
      </c>
      <c r="F50" s="2" t="s">
        <v>47</v>
      </c>
      <c r="G50" s="2" t="s">
        <v>2</v>
      </c>
      <c r="H50" s="2" t="s">
        <v>62</v>
      </c>
      <c r="I50" s="2" t="s">
        <v>61</v>
      </c>
      <c r="J50" s="2" t="s">
        <v>2</v>
      </c>
      <c r="K50" s="1" t="s">
        <v>100</v>
      </c>
      <c r="L50" s="2" t="s">
        <v>64</v>
      </c>
      <c r="M50" s="2" t="s">
        <v>6</v>
      </c>
    </row>
    <row r="51" spans="1:13" ht="12.75">
      <c r="A51" t="s">
        <v>198</v>
      </c>
      <c r="B51" s="4" t="s">
        <v>5</v>
      </c>
      <c r="C51" s="60">
        <v>1</v>
      </c>
      <c r="D51" s="60">
        <f>C51</f>
        <v>1</v>
      </c>
      <c r="E51" s="7">
        <v>250</v>
      </c>
      <c r="F51" s="66">
        <f>1.2*E51*C$23/1000</f>
        <v>75</v>
      </c>
      <c r="G51" s="81">
        <f aca="true" t="shared" si="2" ref="G51:G57">F51*1000/E$25</f>
        <v>1718.7500000000002</v>
      </c>
      <c r="H51" s="31">
        <v>0</v>
      </c>
      <c r="I51" s="59">
        <f aca="true" t="shared" si="3" ref="I51:I58">G51+H51</f>
        <v>1718.7500000000002</v>
      </c>
      <c r="J51" s="71">
        <f aca="true" t="shared" si="4" ref="J51:J58">J$59+I51</f>
        <v>4718.75</v>
      </c>
      <c r="K51" s="7" t="s">
        <v>11</v>
      </c>
      <c r="L51" s="37">
        <v>999999</v>
      </c>
      <c r="M51" s="16">
        <f aca="true" t="shared" si="5" ref="M51:M59">1000/L51</f>
        <v>0.001000001000001</v>
      </c>
    </row>
    <row r="52" spans="1:13" ht="12.75">
      <c r="A52" t="s">
        <v>199</v>
      </c>
      <c r="B52" s="4" t="s">
        <v>5</v>
      </c>
      <c r="C52" s="60">
        <v>1</v>
      </c>
      <c r="D52" s="60">
        <f>C52</f>
        <v>1</v>
      </c>
      <c r="E52" s="7">
        <v>120</v>
      </c>
      <c r="F52" s="66">
        <f>1.2*E52*C$23/1000</f>
        <v>36</v>
      </c>
      <c r="G52" s="81">
        <f>F52*1000/E$25</f>
        <v>825.0000000000001</v>
      </c>
      <c r="H52" s="31">
        <v>0</v>
      </c>
      <c r="I52" s="59">
        <f>G52+H52</f>
        <v>825.0000000000001</v>
      </c>
      <c r="J52" s="71">
        <f t="shared" si="4"/>
        <v>3825</v>
      </c>
      <c r="K52" s="7" t="s">
        <v>11</v>
      </c>
      <c r="L52" s="37">
        <v>999999</v>
      </c>
      <c r="M52" s="16">
        <f t="shared" si="5"/>
        <v>0.001000001000001</v>
      </c>
    </row>
    <row r="53" spans="1:13" ht="12.75">
      <c r="A53" s="1" t="s">
        <v>109</v>
      </c>
      <c r="B53" s="2" t="s">
        <v>5</v>
      </c>
      <c r="C53" s="73">
        <v>1</v>
      </c>
      <c r="D53" s="73">
        <f aca="true" t="shared" si="6" ref="D53:D59">C53*C$22</f>
        <v>0.8</v>
      </c>
      <c r="E53" s="74">
        <f aca="true" t="shared" si="7" ref="E53:E59">C53*D$22</f>
        <v>40</v>
      </c>
      <c r="F53" s="75">
        <f>E53*C$23/1000</f>
        <v>10</v>
      </c>
      <c r="G53" s="82">
        <f t="shared" si="2"/>
        <v>229.16666666666669</v>
      </c>
      <c r="H53" s="80">
        <v>400</v>
      </c>
      <c r="I53" s="76">
        <f t="shared" si="3"/>
        <v>629.1666666666667</v>
      </c>
      <c r="J53" s="78">
        <f t="shared" si="4"/>
        <v>3629.166666666667</v>
      </c>
      <c r="K53" s="118">
        <v>0.3</v>
      </c>
      <c r="L53" s="34">
        <f>L$59*(1+K53)/(1-D53)</f>
        <v>195.00000000000006</v>
      </c>
      <c r="M53" s="40">
        <f t="shared" si="5"/>
        <v>5.128205128205127</v>
      </c>
    </row>
    <row r="54" spans="1:13" ht="12.75">
      <c r="A54" s="1" t="s">
        <v>110</v>
      </c>
      <c r="B54" s="2" t="s">
        <v>5</v>
      </c>
      <c r="C54" s="73">
        <v>0.5</v>
      </c>
      <c r="D54" s="73">
        <f t="shared" si="6"/>
        <v>0.4</v>
      </c>
      <c r="E54" s="74">
        <f t="shared" si="7"/>
        <v>20</v>
      </c>
      <c r="F54" s="75">
        <f>E54*C$23/1000</f>
        <v>5</v>
      </c>
      <c r="G54" s="82">
        <f t="shared" si="2"/>
        <v>114.58333333333334</v>
      </c>
      <c r="H54" s="80">
        <v>100</v>
      </c>
      <c r="I54" s="76">
        <f t="shared" si="3"/>
        <v>214.58333333333334</v>
      </c>
      <c r="J54" s="78">
        <f t="shared" si="4"/>
        <v>3214.5833333333335</v>
      </c>
      <c r="K54" s="118">
        <v>0</v>
      </c>
      <c r="L54" s="24">
        <f>L$58*(1+K54)/(1-D54)</f>
        <v>75</v>
      </c>
      <c r="M54" s="40">
        <f t="shared" si="5"/>
        <v>13.333333333333334</v>
      </c>
    </row>
    <row r="55" spans="1:13" ht="12.75">
      <c r="A55" s="1" t="s">
        <v>111</v>
      </c>
      <c r="B55" s="2" t="s">
        <v>5</v>
      </c>
      <c r="C55" s="73">
        <v>0.5</v>
      </c>
      <c r="D55" s="73">
        <f t="shared" si="6"/>
        <v>0.4</v>
      </c>
      <c r="E55" s="74">
        <f t="shared" si="7"/>
        <v>20</v>
      </c>
      <c r="F55" s="75">
        <f>E55*C$23/1000</f>
        <v>5</v>
      </c>
      <c r="G55" s="82">
        <f t="shared" si="2"/>
        <v>114.58333333333334</v>
      </c>
      <c r="H55" s="80">
        <v>300</v>
      </c>
      <c r="I55" s="76">
        <f t="shared" si="3"/>
        <v>414.58333333333337</v>
      </c>
      <c r="J55" s="78">
        <f t="shared" si="4"/>
        <v>3414.5833333333335</v>
      </c>
      <c r="K55" s="118">
        <v>0.3</v>
      </c>
      <c r="L55" s="34">
        <f>L$59*(1+K55)/(1-D55)</f>
        <v>65</v>
      </c>
      <c r="M55" s="40">
        <f t="shared" si="5"/>
        <v>15.384615384615385</v>
      </c>
    </row>
    <row r="56" spans="1:13" ht="12.75">
      <c r="A56" t="s">
        <v>87</v>
      </c>
      <c r="B56" s="4" t="s">
        <v>5</v>
      </c>
      <c r="C56" s="60">
        <v>1</v>
      </c>
      <c r="D56" s="60">
        <f t="shared" si="6"/>
        <v>0.8</v>
      </c>
      <c r="E56" s="7">
        <f t="shared" si="7"/>
        <v>40</v>
      </c>
      <c r="F56" s="67">
        <f>E56*C$23/1000</f>
        <v>10</v>
      </c>
      <c r="G56" s="81">
        <f t="shared" si="2"/>
        <v>229.16666666666669</v>
      </c>
      <c r="H56" s="31">
        <v>200</v>
      </c>
      <c r="I56" s="59">
        <f t="shared" si="3"/>
        <v>429.1666666666667</v>
      </c>
      <c r="J56" s="71">
        <f t="shared" si="4"/>
        <v>3429.1666666666665</v>
      </c>
      <c r="K56" s="118">
        <v>0.5</v>
      </c>
      <c r="L56" s="119">
        <f>L$59*(1+K56)/(1-D56)</f>
        <v>225.00000000000006</v>
      </c>
      <c r="M56" s="42">
        <f t="shared" si="5"/>
        <v>4.444444444444444</v>
      </c>
    </row>
    <row r="57" spans="1:13" ht="12.75">
      <c r="A57" t="s">
        <v>88</v>
      </c>
      <c r="B57" s="4" t="s">
        <v>5</v>
      </c>
      <c r="C57" s="60">
        <v>0.5</v>
      </c>
      <c r="D57" s="60">
        <f t="shared" si="6"/>
        <v>0.4</v>
      </c>
      <c r="E57" s="7">
        <f t="shared" si="7"/>
        <v>20</v>
      </c>
      <c r="F57" s="67">
        <f>E57*C$23/1000</f>
        <v>5</v>
      </c>
      <c r="G57" s="81">
        <f t="shared" si="2"/>
        <v>114.58333333333334</v>
      </c>
      <c r="H57" s="31">
        <v>100</v>
      </c>
      <c r="I57" s="59">
        <f t="shared" si="3"/>
        <v>214.58333333333334</v>
      </c>
      <c r="J57" s="71">
        <f t="shared" si="4"/>
        <v>3214.5833333333335</v>
      </c>
      <c r="K57" s="118">
        <v>0.5</v>
      </c>
      <c r="L57" s="119">
        <f>L$59*(1+K57)/(1-D57)</f>
        <v>75</v>
      </c>
      <c r="M57" s="42">
        <f t="shared" si="5"/>
        <v>13.333333333333334</v>
      </c>
    </row>
    <row r="58" spans="1:13" ht="12.75">
      <c r="A58" t="s">
        <v>5</v>
      </c>
      <c r="B58" s="4" t="s">
        <v>5</v>
      </c>
      <c r="C58" s="65">
        <v>0</v>
      </c>
      <c r="D58" s="65">
        <f t="shared" si="6"/>
        <v>0</v>
      </c>
      <c r="E58" s="10">
        <f t="shared" si="7"/>
        <v>0</v>
      </c>
      <c r="F58" s="68">
        <f>0.4*1.3</f>
        <v>0.52</v>
      </c>
      <c r="G58" s="69">
        <v>100</v>
      </c>
      <c r="H58" s="10">
        <v>0</v>
      </c>
      <c r="I58" s="59">
        <f t="shared" si="3"/>
        <v>100</v>
      </c>
      <c r="J58" s="71">
        <f t="shared" si="4"/>
        <v>3100</v>
      </c>
      <c r="K58" s="7" t="s">
        <v>11</v>
      </c>
      <c r="L58" s="9">
        <v>45</v>
      </c>
      <c r="M58" s="42">
        <f t="shared" si="5"/>
        <v>22.22222222222222</v>
      </c>
    </row>
    <row r="59" spans="1:13" ht="12.75">
      <c r="A59" t="s">
        <v>34</v>
      </c>
      <c r="B59" s="4" t="s">
        <v>5</v>
      </c>
      <c r="C59" s="65">
        <v>0</v>
      </c>
      <c r="D59" s="65">
        <f t="shared" si="6"/>
        <v>0</v>
      </c>
      <c r="E59" s="10">
        <f t="shared" si="7"/>
        <v>0</v>
      </c>
      <c r="F59" s="70">
        <v>0</v>
      </c>
      <c r="G59" s="70">
        <v>0</v>
      </c>
      <c r="H59" s="10">
        <v>0</v>
      </c>
      <c r="I59" s="7">
        <v>0</v>
      </c>
      <c r="J59" s="72">
        <v>3000</v>
      </c>
      <c r="K59" s="7" t="s">
        <v>11</v>
      </c>
      <c r="L59" s="29">
        <v>30</v>
      </c>
      <c r="M59" s="42">
        <f t="shared" si="5"/>
        <v>33.333333333333336</v>
      </c>
    </row>
    <row r="60" spans="2:13" ht="12.75">
      <c r="B60" s="4"/>
      <c r="C60" s="60"/>
      <c r="D60" s="60"/>
      <c r="E60" s="7"/>
      <c r="F60" s="66"/>
      <c r="G60" s="66"/>
      <c r="H60" s="31"/>
      <c r="I60" s="7"/>
      <c r="J60" s="29"/>
      <c r="K60" s="7"/>
      <c r="L60" s="29"/>
      <c r="M60" s="42"/>
    </row>
    <row r="61" spans="1:13" ht="12.75">
      <c r="A61" t="s">
        <v>33</v>
      </c>
      <c r="B61" s="4" t="s">
        <v>103</v>
      </c>
      <c r="C61" s="60">
        <v>1</v>
      </c>
      <c r="D61" s="60">
        <f>C61</f>
        <v>1</v>
      </c>
      <c r="E61" s="7">
        <v>250</v>
      </c>
      <c r="F61" s="67">
        <f>1.2*E61*E$23/1000</f>
        <v>150</v>
      </c>
      <c r="G61" s="81">
        <f>F61*1000/E$25</f>
        <v>3437.5000000000005</v>
      </c>
      <c r="H61" s="31">
        <v>0</v>
      </c>
      <c r="I61" s="59">
        <f>G61+H61</f>
        <v>3437.5000000000005</v>
      </c>
      <c r="J61" s="72">
        <f>J$66+I61</f>
        <v>8437.5</v>
      </c>
      <c r="K61" s="7" t="s">
        <v>11</v>
      </c>
      <c r="L61" s="37">
        <v>999999</v>
      </c>
      <c r="M61" s="16">
        <f aca="true" t="shared" si="8" ref="M61:M66">1000/L61</f>
        <v>0.001000001000001</v>
      </c>
    </row>
    <row r="62" spans="1:13" ht="12.75">
      <c r="A62" s="1" t="s">
        <v>109</v>
      </c>
      <c r="B62" s="2" t="s">
        <v>103</v>
      </c>
      <c r="C62" s="73">
        <v>1</v>
      </c>
      <c r="D62" s="73">
        <f>C62*C$22</f>
        <v>0.8</v>
      </c>
      <c r="E62" s="74">
        <f>C62*D$22</f>
        <v>40</v>
      </c>
      <c r="F62" s="75">
        <f>E62*E$23/1000</f>
        <v>20</v>
      </c>
      <c r="G62" s="82">
        <f>F62*1000/E$25</f>
        <v>458.33333333333337</v>
      </c>
      <c r="H62" s="80">
        <v>700</v>
      </c>
      <c r="I62" s="76">
        <f>G62+H62</f>
        <v>1158.3333333333335</v>
      </c>
      <c r="J62" s="77">
        <f>J$66+I62</f>
        <v>6158.333333333334</v>
      </c>
      <c r="K62" s="118">
        <v>0.3</v>
      </c>
      <c r="L62" s="34">
        <f>L$66*(1+K62)/(1-D62)</f>
        <v>104.00000000000003</v>
      </c>
      <c r="M62" s="40">
        <f t="shared" si="8"/>
        <v>9.615384615384613</v>
      </c>
    </row>
    <row r="63" spans="1:13" ht="12.75">
      <c r="A63" s="1" t="s">
        <v>111</v>
      </c>
      <c r="B63" s="2" t="s">
        <v>103</v>
      </c>
      <c r="C63" s="73">
        <v>0.5</v>
      </c>
      <c r="D63" s="73">
        <f>C63*C$22</f>
        <v>0.4</v>
      </c>
      <c r="E63" s="74">
        <f>C63*D$22</f>
        <v>20</v>
      </c>
      <c r="F63" s="75">
        <f>E63*E$23/1000</f>
        <v>10</v>
      </c>
      <c r="G63" s="82">
        <f>F63*1000/E$25</f>
        <v>229.16666666666669</v>
      </c>
      <c r="H63" s="80">
        <v>500</v>
      </c>
      <c r="I63" s="76">
        <f>G63+H63</f>
        <v>729.1666666666667</v>
      </c>
      <c r="J63" s="77">
        <f>J$66+I63</f>
        <v>5729.166666666667</v>
      </c>
      <c r="K63" s="118">
        <v>0.3</v>
      </c>
      <c r="L63" s="34">
        <f>L$66*(1+K63)/(1-D63)</f>
        <v>34.66666666666667</v>
      </c>
      <c r="M63" s="40">
        <f t="shared" si="8"/>
        <v>28.846153846153843</v>
      </c>
    </row>
    <row r="64" spans="1:13" ht="12.75">
      <c r="A64" t="s">
        <v>87</v>
      </c>
      <c r="B64" s="4" t="s">
        <v>103</v>
      </c>
      <c r="C64" s="60">
        <v>1</v>
      </c>
      <c r="D64" s="60">
        <f>C64*C$22</f>
        <v>0.8</v>
      </c>
      <c r="E64" s="7">
        <f>C64*D$22</f>
        <v>40</v>
      </c>
      <c r="F64" s="67">
        <f>E64*E$23/1000</f>
        <v>20</v>
      </c>
      <c r="G64" s="81">
        <f>F64*1000/E$25</f>
        <v>458.33333333333337</v>
      </c>
      <c r="H64" s="31">
        <v>400</v>
      </c>
      <c r="I64" s="59">
        <f>G64+H64</f>
        <v>858.3333333333334</v>
      </c>
      <c r="J64" s="72">
        <f>J$66+I64</f>
        <v>5858.333333333333</v>
      </c>
      <c r="K64" s="118">
        <v>0.5</v>
      </c>
      <c r="L64" s="29">
        <f>L$66*(1+K64)/(1-D64)</f>
        <v>120.00000000000003</v>
      </c>
      <c r="M64" s="42">
        <f t="shared" si="8"/>
        <v>8.333333333333332</v>
      </c>
    </row>
    <row r="65" spans="1:13" ht="12.75">
      <c r="A65" t="s">
        <v>88</v>
      </c>
      <c r="B65" s="4" t="s">
        <v>103</v>
      </c>
      <c r="C65" s="60">
        <v>0.5</v>
      </c>
      <c r="D65" s="60">
        <f>C65*C$22</f>
        <v>0.4</v>
      </c>
      <c r="E65" s="7">
        <f>C65*D$22</f>
        <v>20</v>
      </c>
      <c r="F65" s="67">
        <f>E65*E$23/1000</f>
        <v>10</v>
      </c>
      <c r="G65" s="81">
        <f>F65*1000/E$25</f>
        <v>229.16666666666669</v>
      </c>
      <c r="H65" s="31">
        <v>200</v>
      </c>
      <c r="I65" s="59">
        <f>G65+H65</f>
        <v>429.1666666666667</v>
      </c>
      <c r="J65" s="72">
        <f>J$66+I65</f>
        <v>5429.166666666667</v>
      </c>
      <c r="K65" s="118">
        <v>0.5</v>
      </c>
      <c r="L65" s="35">
        <f>L$66*(1+K65)/(1-D65)</f>
        <v>40</v>
      </c>
      <c r="M65" s="42">
        <f t="shared" si="8"/>
        <v>25</v>
      </c>
    </row>
    <row r="66" spans="1:13" ht="12.75">
      <c r="A66" t="s">
        <v>93</v>
      </c>
      <c r="B66" s="4" t="s">
        <v>103</v>
      </c>
      <c r="C66" s="60">
        <v>0</v>
      </c>
      <c r="D66" s="60">
        <f>C66*C$22</f>
        <v>0</v>
      </c>
      <c r="E66" s="7">
        <f>C66*D$22</f>
        <v>0</v>
      </c>
      <c r="F66" s="67">
        <f>E66*E$23/1000</f>
        <v>0</v>
      </c>
      <c r="G66" s="66">
        <v>0</v>
      </c>
      <c r="H66" s="31">
        <v>0</v>
      </c>
      <c r="I66" s="7">
        <v>0</v>
      </c>
      <c r="J66" s="71">
        <v>5000</v>
      </c>
      <c r="K66" s="7" t="s">
        <v>11</v>
      </c>
      <c r="L66" s="9">
        <v>16</v>
      </c>
      <c r="M66" s="17">
        <f t="shared" si="8"/>
        <v>62.5</v>
      </c>
    </row>
    <row r="67" spans="2:11" ht="12.75">
      <c r="B67" s="4"/>
      <c r="C67" s="60"/>
      <c r="D67" s="60"/>
      <c r="E67" s="7"/>
      <c r="F67" s="67"/>
      <c r="G67" s="66"/>
      <c r="H67" s="31"/>
      <c r="I67" s="7"/>
      <c r="J67" s="71"/>
      <c r="K67" s="9"/>
    </row>
    <row r="68" spans="1:11" s="1" customFormat="1" ht="12.75">
      <c r="A68" s="1" t="s">
        <v>105</v>
      </c>
      <c r="B68" s="2"/>
      <c r="C68" s="73"/>
      <c r="D68" s="73"/>
      <c r="E68" s="74"/>
      <c r="F68" s="75"/>
      <c r="G68" s="3"/>
      <c r="H68" s="120"/>
      <c r="I68" s="74"/>
      <c r="J68" s="78"/>
      <c r="K68" s="121"/>
    </row>
    <row r="69" spans="1:11" s="1" customFormat="1" ht="12.75">
      <c r="A69" s="1" t="s">
        <v>106</v>
      </c>
      <c r="B69" s="2"/>
      <c r="C69" s="73"/>
      <c r="D69" s="73"/>
      <c r="E69" s="74"/>
      <c r="F69" s="75"/>
      <c r="G69" s="3"/>
      <c r="H69" s="120"/>
      <c r="I69" s="74"/>
      <c r="J69" s="78"/>
      <c r="K69" s="121"/>
    </row>
    <row r="70" spans="1:11" s="1" customFormat="1" ht="12.75">
      <c r="A70" s="1" t="s">
        <v>107</v>
      </c>
      <c r="B70" s="2"/>
      <c r="C70" s="73"/>
      <c r="D70" s="73"/>
      <c r="E70" s="74"/>
      <c r="F70" s="75"/>
      <c r="G70" s="3"/>
      <c r="H70" s="120"/>
      <c r="I70" s="74"/>
      <c r="J70" s="78"/>
      <c r="K70" s="121"/>
    </row>
    <row r="71" spans="1:11" ht="12.75">
      <c r="A71" s="1" t="s">
        <v>94</v>
      </c>
      <c r="B71" s="4"/>
      <c r="C71" s="60"/>
      <c r="D71" s="60"/>
      <c r="E71" s="7"/>
      <c r="F71" s="67"/>
      <c r="G71" s="66"/>
      <c r="H71" s="31"/>
      <c r="I71" s="7"/>
      <c r="J71" s="71"/>
      <c r="K71" s="9"/>
    </row>
    <row r="72" s="1" customFormat="1" ht="12.75">
      <c r="A72" s="1" t="s">
        <v>128</v>
      </c>
    </row>
    <row r="73" s="1" customFormat="1" ht="12.75">
      <c r="A73" s="1" t="s">
        <v>108</v>
      </c>
    </row>
    <row r="74" spans="1:11" ht="12.75">
      <c r="A74" s="1"/>
      <c r="B74" s="4"/>
      <c r="C74" s="60"/>
      <c r="D74" s="60"/>
      <c r="E74" s="7"/>
      <c r="F74" s="67"/>
      <c r="G74" s="66"/>
      <c r="H74" s="31"/>
      <c r="I74" s="7"/>
      <c r="J74" s="71"/>
      <c r="K74" s="9"/>
    </row>
    <row r="75" spans="3:13" s="1" customFormat="1" ht="12.75">
      <c r="C75" s="225" t="s">
        <v>96</v>
      </c>
      <c r="D75" s="225"/>
      <c r="E75" s="225"/>
      <c r="F75" s="225" t="s">
        <v>117</v>
      </c>
      <c r="G75" s="225"/>
      <c r="H75" s="225" t="s">
        <v>116</v>
      </c>
      <c r="I75" s="225"/>
      <c r="K75" s="225" t="s">
        <v>102</v>
      </c>
      <c r="L75" s="225"/>
      <c r="M75" s="225"/>
    </row>
    <row r="76" spans="1:14" s="1" customFormat="1" ht="15.75">
      <c r="A76" s="79" t="s">
        <v>69</v>
      </c>
      <c r="B76" s="2" t="s">
        <v>32</v>
      </c>
      <c r="C76" s="2" t="s">
        <v>70</v>
      </c>
      <c r="D76" s="2" t="s">
        <v>71</v>
      </c>
      <c r="E76" s="2" t="s">
        <v>72</v>
      </c>
      <c r="F76" s="225" t="s">
        <v>97</v>
      </c>
      <c r="G76" s="225"/>
      <c r="H76" s="225" t="s">
        <v>98</v>
      </c>
      <c r="I76" s="225"/>
      <c r="K76" s="2" t="s">
        <v>142</v>
      </c>
      <c r="L76" s="2" t="s">
        <v>148</v>
      </c>
      <c r="M76" s="2" t="s">
        <v>149</v>
      </c>
      <c r="N76" s="2" t="s">
        <v>150</v>
      </c>
    </row>
    <row r="77" spans="3:14" s="1" customFormat="1" ht="12.75">
      <c r="C77" s="2" t="s">
        <v>7</v>
      </c>
      <c r="D77" s="2" t="s">
        <v>7</v>
      </c>
      <c r="E77" s="113" t="s">
        <v>119</v>
      </c>
      <c r="F77" s="2" t="s">
        <v>95</v>
      </c>
      <c r="G77" s="2" t="s">
        <v>90</v>
      </c>
      <c r="H77" s="2" t="s">
        <v>95</v>
      </c>
      <c r="I77" s="2" t="s">
        <v>90</v>
      </c>
      <c r="K77" s="2" t="s">
        <v>101</v>
      </c>
      <c r="L77" s="2" t="s">
        <v>12</v>
      </c>
      <c r="M77" s="2" t="s">
        <v>118</v>
      </c>
      <c r="N77" s="2" t="s">
        <v>79</v>
      </c>
    </row>
    <row r="78" spans="1:14" ht="12.75">
      <c r="A78" t="s">
        <v>33</v>
      </c>
      <c r="B78" s="4" t="s">
        <v>5</v>
      </c>
      <c r="C78" s="15">
        <f>C$11*M51</f>
        <v>0.0364000364000364</v>
      </c>
      <c r="D78" s="9">
        <f>D51*C$23</f>
        <v>250</v>
      </c>
      <c r="E78" s="15">
        <f>C78+D78</f>
        <v>250.03640003640004</v>
      </c>
      <c r="F78" s="16">
        <f>M$59-M51</f>
        <v>33.332333332333334</v>
      </c>
      <c r="G78" s="16">
        <f>M$66-M51</f>
        <v>62.498999999</v>
      </c>
      <c r="H78" s="15">
        <f aca="true" t="shared" si="9" ref="H78:H85">E$85-E78</f>
        <v>963.2969332969335</v>
      </c>
      <c r="I78" s="15">
        <f aca="true" t="shared" si="10" ref="I78:I85">E$92-E78</f>
        <v>2024.9635999636</v>
      </c>
      <c r="K78" s="15">
        <f>M51*C$21/1000</f>
        <v>0.18000018000018</v>
      </c>
      <c r="L78" s="36">
        <f>D78*C$21/1000000</f>
        <v>45</v>
      </c>
      <c r="M78" s="15">
        <f aca="true" t="shared" si="11" ref="M78:M85">E78*C$21/1000000</f>
        <v>45.006552006552006</v>
      </c>
      <c r="N78" s="16">
        <f aca="true" t="shared" si="12" ref="N78:N85">M78*G$12/1000</f>
        <v>11.004349254349254</v>
      </c>
    </row>
    <row r="79" spans="1:14" ht="12.75">
      <c r="A79" s="1" t="s">
        <v>109</v>
      </c>
      <c r="B79" s="2" t="s">
        <v>5</v>
      </c>
      <c r="C79" s="41">
        <f aca="true" t="shared" si="13" ref="C79:C85">C$11*M53</f>
        <v>186.6666666666666</v>
      </c>
      <c r="D79" s="41">
        <f aca="true" t="shared" si="14" ref="D79:D85">D53*C$23</f>
        <v>200</v>
      </c>
      <c r="E79" s="41">
        <f aca="true" t="shared" si="15" ref="E79:E92">C79+D79</f>
        <v>386.66666666666663</v>
      </c>
      <c r="F79" s="40">
        <f>M$59-M53</f>
        <v>28.205128205128208</v>
      </c>
      <c r="G79" s="40"/>
      <c r="H79" s="41">
        <f t="shared" si="9"/>
        <v>826.6666666666669</v>
      </c>
      <c r="I79" s="41"/>
      <c r="K79" s="41">
        <f aca="true" t="shared" si="16" ref="K79:K85">M53*C$21/1000</f>
        <v>923.0769230769229</v>
      </c>
      <c r="L79" s="41">
        <f aca="true" t="shared" si="17" ref="L79:L92">D79*C$21/1000000</f>
        <v>36</v>
      </c>
      <c r="M79" s="41">
        <f t="shared" si="11"/>
        <v>69.6</v>
      </c>
      <c r="N79" s="40">
        <f t="shared" si="12"/>
        <v>17.017582417582418</v>
      </c>
    </row>
    <row r="80" spans="1:14" ht="12.75">
      <c r="A80" s="1" t="s">
        <v>110</v>
      </c>
      <c r="B80" s="2" t="s">
        <v>5</v>
      </c>
      <c r="C80" s="41">
        <f t="shared" si="13"/>
        <v>485.3333333333333</v>
      </c>
      <c r="D80" s="41">
        <f t="shared" si="14"/>
        <v>100</v>
      </c>
      <c r="E80" s="41">
        <f t="shared" si="15"/>
        <v>585.3333333333333</v>
      </c>
      <c r="F80" s="40">
        <f>M$58-M54</f>
        <v>8.888888888888888</v>
      </c>
      <c r="G80" s="40"/>
      <c r="H80" s="41">
        <f>E$84-E80</f>
        <v>223.55555555555554</v>
      </c>
      <c r="I80" s="41"/>
      <c r="K80" s="41">
        <f t="shared" si="16"/>
        <v>2400</v>
      </c>
      <c r="L80" s="41">
        <f t="shared" si="17"/>
        <v>18</v>
      </c>
      <c r="M80" s="41">
        <f t="shared" si="11"/>
        <v>105.35999999999999</v>
      </c>
      <c r="N80" s="40">
        <f t="shared" si="12"/>
        <v>25.7610989010989</v>
      </c>
    </row>
    <row r="81" spans="1:14" ht="12.75">
      <c r="A81" s="1" t="s">
        <v>111</v>
      </c>
      <c r="B81" s="2" t="s">
        <v>5</v>
      </c>
      <c r="C81" s="41">
        <f t="shared" si="13"/>
        <v>560</v>
      </c>
      <c r="D81" s="41">
        <f t="shared" si="14"/>
        <v>100</v>
      </c>
      <c r="E81" s="41">
        <f t="shared" si="15"/>
        <v>660</v>
      </c>
      <c r="F81" s="40">
        <f>M$59-M55</f>
        <v>17.94871794871795</v>
      </c>
      <c r="G81" s="40"/>
      <c r="H81" s="41">
        <f t="shared" si="9"/>
        <v>553.3333333333335</v>
      </c>
      <c r="I81" s="41"/>
      <c r="K81" s="41">
        <f t="shared" si="16"/>
        <v>2769.2307692307695</v>
      </c>
      <c r="L81" s="41">
        <f t="shared" si="17"/>
        <v>18</v>
      </c>
      <c r="M81" s="41">
        <f t="shared" si="11"/>
        <v>118.8</v>
      </c>
      <c r="N81" s="40">
        <f t="shared" si="12"/>
        <v>29.04725274725275</v>
      </c>
    </row>
    <row r="82" spans="1:14" ht="12.75">
      <c r="A82" t="s">
        <v>87</v>
      </c>
      <c r="B82" s="4" t="s">
        <v>5</v>
      </c>
      <c r="C82" s="44">
        <f t="shared" si="13"/>
        <v>161.77777777777774</v>
      </c>
      <c r="D82" s="44">
        <f t="shared" si="14"/>
        <v>200</v>
      </c>
      <c r="E82" s="44">
        <f t="shared" si="15"/>
        <v>361.7777777777777</v>
      </c>
      <c r="F82" s="91">
        <f>M$59-M56</f>
        <v>28.888888888888893</v>
      </c>
      <c r="G82" s="91">
        <f>M$66-M56</f>
        <v>58.05555555555556</v>
      </c>
      <c r="H82" s="92">
        <f t="shared" si="9"/>
        <v>851.5555555555558</v>
      </c>
      <c r="I82" s="92">
        <f t="shared" si="10"/>
        <v>1913.2222222222222</v>
      </c>
      <c r="K82" s="44">
        <f t="shared" si="16"/>
        <v>799.9999999999999</v>
      </c>
      <c r="L82" s="44">
        <f t="shared" si="17"/>
        <v>36</v>
      </c>
      <c r="M82" s="44">
        <f t="shared" si="11"/>
        <v>65.11999999999999</v>
      </c>
      <c r="N82" s="42">
        <f t="shared" si="12"/>
        <v>15.922197802197799</v>
      </c>
    </row>
    <row r="83" spans="1:14" ht="12.75">
      <c r="A83" t="s">
        <v>88</v>
      </c>
      <c r="B83" s="4" t="s">
        <v>5</v>
      </c>
      <c r="C83" s="44">
        <f t="shared" si="13"/>
        <v>485.3333333333333</v>
      </c>
      <c r="D83" s="43">
        <f t="shared" si="14"/>
        <v>100</v>
      </c>
      <c r="E83" s="44">
        <f t="shared" si="15"/>
        <v>585.3333333333333</v>
      </c>
      <c r="F83" s="91">
        <f>M$59-M57</f>
        <v>20</v>
      </c>
      <c r="G83" s="91">
        <f>M$66-M57</f>
        <v>49.166666666666664</v>
      </c>
      <c r="H83" s="92">
        <f t="shared" si="9"/>
        <v>628.0000000000002</v>
      </c>
      <c r="I83" s="92">
        <f t="shared" si="10"/>
        <v>1689.6666666666667</v>
      </c>
      <c r="K83" s="44">
        <f t="shared" si="16"/>
        <v>2400</v>
      </c>
      <c r="L83" s="44">
        <f t="shared" si="17"/>
        <v>18</v>
      </c>
      <c r="M83" s="44">
        <f t="shared" si="11"/>
        <v>105.35999999999999</v>
      </c>
      <c r="N83" s="42">
        <f t="shared" si="12"/>
        <v>25.7610989010989</v>
      </c>
    </row>
    <row r="84" spans="1:14" ht="12.75">
      <c r="A84" t="s">
        <v>5</v>
      </c>
      <c r="B84" s="4" t="s">
        <v>5</v>
      </c>
      <c r="C84" s="44">
        <f t="shared" si="13"/>
        <v>808.8888888888888</v>
      </c>
      <c r="D84" s="43">
        <f t="shared" si="14"/>
        <v>0</v>
      </c>
      <c r="E84" s="44">
        <f t="shared" si="15"/>
        <v>808.8888888888888</v>
      </c>
      <c r="F84" s="91">
        <f>M$59-M58</f>
        <v>11.111111111111114</v>
      </c>
      <c r="G84" s="91">
        <f>M$66-M58</f>
        <v>40.27777777777778</v>
      </c>
      <c r="H84" s="92">
        <f t="shared" si="9"/>
        <v>404.4444444444447</v>
      </c>
      <c r="I84" s="92">
        <f t="shared" si="10"/>
        <v>1466.1111111111113</v>
      </c>
      <c r="K84" s="44">
        <f t="shared" si="16"/>
        <v>4000</v>
      </c>
      <c r="L84" s="44">
        <f t="shared" si="17"/>
        <v>0</v>
      </c>
      <c r="M84" s="44">
        <f t="shared" si="11"/>
        <v>145.59999999999997</v>
      </c>
      <c r="N84" s="42">
        <f t="shared" si="12"/>
        <v>35.599999999999994</v>
      </c>
    </row>
    <row r="85" spans="1:14" ht="12.75">
      <c r="A85" t="s">
        <v>34</v>
      </c>
      <c r="B85" s="4" t="s">
        <v>5</v>
      </c>
      <c r="C85" s="44">
        <f t="shared" si="13"/>
        <v>1213.3333333333335</v>
      </c>
      <c r="D85" s="43">
        <f t="shared" si="14"/>
        <v>0</v>
      </c>
      <c r="E85" s="44">
        <f t="shared" si="15"/>
        <v>1213.3333333333335</v>
      </c>
      <c r="F85" s="17">
        <f>M$59-M59</f>
        <v>0</v>
      </c>
      <c r="G85" s="91">
        <f>M$66-M59</f>
        <v>29.166666666666664</v>
      </c>
      <c r="H85" s="18">
        <f t="shared" si="9"/>
        <v>0</v>
      </c>
      <c r="I85" s="92">
        <f t="shared" si="10"/>
        <v>1061.6666666666665</v>
      </c>
      <c r="K85" s="44">
        <f t="shared" si="16"/>
        <v>6000</v>
      </c>
      <c r="L85" s="44">
        <f t="shared" si="17"/>
        <v>0</v>
      </c>
      <c r="M85" s="44">
        <f t="shared" si="11"/>
        <v>218.40000000000003</v>
      </c>
      <c r="N85" s="42">
        <f t="shared" si="12"/>
        <v>53.400000000000006</v>
      </c>
    </row>
    <row r="86" spans="2:14" ht="12.75">
      <c r="B86" s="4"/>
      <c r="C86" s="44"/>
      <c r="D86" s="43"/>
      <c r="E86" s="44"/>
      <c r="F86" s="91"/>
      <c r="G86" s="91"/>
      <c r="I86" s="92"/>
      <c r="K86" s="44"/>
      <c r="L86" s="44"/>
      <c r="M86" s="44"/>
      <c r="N86" s="42"/>
    </row>
    <row r="87" spans="1:14" ht="12.75">
      <c r="A87" t="s">
        <v>33</v>
      </c>
      <c r="B87" s="4" t="s">
        <v>103</v>
      </c>
      <c r="C87" s="15">
        <f aca="true" t="shared" si="18" ref="C87:C92">C$11*M61</f>
        <v>0.0364000364000364</v>
      </c>
      <c r="D87" s="29">
        <f aca="true" t="shared" si="19" ref="D87:D92">D61*E$23</f>
        <v>500</v>
      </c>
      <c r="E87" s="36">
        <f t="shared" si="15"/>
        <v>500.03640003640004</v>
      </c>
      <c r="F87" s="91">
        <f aca="true" t="shared" si="20" ref="F87:F92">M$66-M61</f>
        <v>62.498999999</v>
      </c>
      <c r="G87" s="91">
        <f>M$59-M61</f>
        <v>33.332333332333334</v>
      </c>
      <c r="H87" s="92">
        <f aca="true" t="shared" si="21" ref="H87:H92">E$92-E87</f>
        <v>1774.9635999636</v>
      </c>
      <c r="I87" s="92">
        <f>E$85-E87</f>
        <v>713.2969332969335</v>
      </c>
      <c r="K87" s="36">
        <f aca="true" t="shared" si="22" ref="K87:K92">M61*C$21/1000</f>
        <v>0.18000018000018</v>
      </c>
      <c r="L87" s="36">
        <f t="shared" si="17"/>
        <v>90</v>
      </c>
      <c r="M87" s="36">
        <f aca="true" t="shared" si="23" ref="M87:M92">E87*C$21/1000000</f>
        <v>90.00655200655201</v>
      </c>
      <c r="N87" s="38">
        <f aca="true" t="shared" si="24" ref="N87:N92">M87*G$12/1000</f>
        <v>22.00709650709651</v>
      </c>
    </row>
    <row r="88" spans="1:14" ht="12.75">
      <c r="A88" s="1" t="s">
        <v>109</v>
      </c>
      <c r="B88" s="2" t="s">
        <v>103</v>
      </c>
      <c r="C88" s="41">
        <f t="shared" si="18"/>
        <v>349.9999999999999</v>
      </c>
      <c r="D88" s="41">
        <f t="shared" si="19"/>
        <v>400</v>
      </c>
      <c r="E88" s="41">
        <f t="shared" si="15"/>
        <v>749.9999999999999</v>
      </c>
      <c r="F88" s="40">
        <f t="shared" si="20"/>
        <v>52.88461538461539</v>
      </c>
      <c r="G88" s="40"/>
      <c r="H88" s="41">
        <f t="shared" si="21"/>
        <v>1525</v>
      </c>
      <c r="I88" s="41"/>
      <c r="K88" s="41">
        <f t="shared" si="22"/>
        <v>1730.7692307692303</v>
      </c>
      <c r="L88" s="41">
        <f t="shared" si="17"/>
        <v>72</v>
      </c>
      <c r="M88" s="41">
        <f t="shared" si="23"/>
        <v>134.99999999999997</v>
      </c>
      <c r="N88" s="40">
        <f t="shared" si="24"/>
        <v>33.00824175824175</v>
      </c>
    </row>
    <row r="89" spans="1:14" ht="12.75">
      <c r="A89" s="1" t="s">
        <v>111</v>
      </c>
      <c r="B89" s="2" t="s">
        <v>103</v>
      </c>
      <c r="C89" s="41">
        <f t="shared" si="18"/>
        <v>1049.9999999999998</v>
      </c>
      <c r="D89" s="41">
        <f t="shared" si="19"/>
        <v>200</v>
      </c>
      <c r="E89" s="41">
        <f t="shared" si="15"/>
        <v>1249.9999999999998</v>
      </c>
      <c r="F89" s="40">
        <f t="shared" si="20"/>
        <v>33.65384615384616</v>
      </c>
      <c r="G89" s="40"/>
      <c r="H89" s="41">
        <f t="shared" si="21"/>
        <v>1025.0000000000002</v>
      </c>
      <c r="I89" s="41"/>
      <c r="K89" s="41">
        <f t="shared" si="22"/>
        <v>5192.307692307692</v>
      </c>
      <c r="L89" s="41">
        <f t="shared" si="17"/>
        <v>36</v>
      </c>
      <c r="M89" s="41">
        <f t="shared" si="23"/>
        <v>224.99999999999997</v>
      </c>
      <c r="N89" s="40">
        <f t="shared" si="24"/>
        <v>55.01373626373626</v>
      </c>
    </row>
    <row r="90" spans="1:14" ht="12.75">
      <c r="A90" t="s">
        <v>87</v>
      </c>
      <c r="B90" s="4" t="s">
        <v>103</v>
      </c>
      <c r="C90" s="44">
        <f t="shared" si="18"/>
        <v>303.33333333333326</v>
      </c>
      <c r="D90" s="44">
        <f t="shared" si="19"/>
        <v>400</v>
      </c>
      <c r="E90" s="44">
        <f t="shared" si="15"/>
        <v>703.3333333333333</v>
      </c>
      <c r="F90" s="91">
        <f t="shared" si="20"/>
        <v>54.16666666666667</v>
      </c>
      <c r="G90" s="91">
        <f>M$59-M64</f>
        <v>25.000000000000004</v>
      </c>
      <c r="H90" s="92">
        <f t="shared" si="21"/>
        <v>1571.6666666666667</v>
      </c>
      <c r="I90" s="92">
        <f>E$85-E90</f>
        <v>510.0000000000002</v>
      </c>
      <c r="K90" s="44">
        <f t="shared" si="22"/>
        <v>1499.9999999999998</v>
      </c>
      <c r="L90" s="44">
        <f t="shared" si="17"/>
        <v>72</v>
      </c>
      <c r="M90" s="44">
        <f t="shared" si="23"/>
        <v>126.59999999999998</v>
      </c>
      <c r="N90" s="42">
        <f t="shared" si="24"/>
        <v>30.9543956043956</v>
      </c>
    </row>
    <row r="91" spans="1:14" ht="12.75">
      <c r="A91" t="s">
        <v>88</v>
      </c>
      <c r="B91" s="4" t="s">
        <v>103</v>
      </c>
      <c r="C91" s="44">
        <f t="shared" si="18"/>
        <v>910</v>
      </c>
      <c r="D91" s="43">
        <f t="shared" si="19"/>
        <v>200</v>
      </c>
      <c r="E91" s="44">
        <f t="shared" si="15"/>
        <v>1110</v>
      </c>
      <c r="F91" s="91">
        <f t="shared" si="20"/>
        <v>37.5</v>
      </c>
      <c r="G91" s="91">
        <f>M$59-M65</f>
        <v>8.333333333333336</v>
      </c>
      <c r="H91" s="92">
        <f t="shared" si="21"/>
        <v>1165</v>
      </c>
      <c r="I91" s="92">
        <f>E$85-E91</f>
        <v>103.33333333333348</v>
      </c>
      <c r="K91" s="44">
        <f t="shared" si="22"/>
        <v>4500</v>
      </c>
      <c r="L91" s="44">
        <f t="shared" si="17"/>
        <v>36</v>
      </c>
      <c r="M91" s="44">
        <f t="shared" si="23"/>
        <v>199.8</v>
      </c>
      <c r="N91" s="42">
        <f t="shared" si="24"/>
        <v>48.85219780219781</v>
      </c>
    </row>
    <row r="92" spans="1:14" ht="12.75">
      <c r="A92" t="s">
        <v>93</v>
      </c>
      <c r="B92" s="4" t="s">
        <v>103</v>
      </c>
      <c r="C92" s="18">
        <f t="shared" si="18"/>
        <v>2275</v>
      </c>
      <c r="D92" s="12">
        <f t="shared" si="19"/>
        <v>0</v>
      </c>
      <c r="E92" s="18">
        <f t="shared" si="15"/>
        <v>2275</v>
      </c>
      <c r="F92" s="17">
        <f t="shared" si="20"/>
        <v>0</v>
      </c>
      <c r="G92" s="17">
        <f>M$59-M66</f>
        <v>-29.166666666666664</v>
      </c>
      <c r="H92" s="18">
        <f t="shared" si="21"/>
        <v>0</v>
      </c>
      <c r="I92" s="18">
        <f>E$85-E92</f>
        <v>-1061.6666666666665</v>
      </c>
      <c r="K92" s="18">
        <f t="shared" si="22"/>
        <v>11250</v>
      </c>
      <c r="L92" s="36">
        <f t="shared" si="17"/>
        <v>0</v>
      </c>
      <c r="M92" s="18">
        <f t="shared" si="23"/>
        <v>409.5</v>
      </c>
      <c r="N92" s="17">
        <f t="shared" si="24"/>
        <v>100.125</v>
      </c>
    </row>
    <row r="94" s="1" customFormat="1" ht="12.75">
      <c r="A94" s="1" t="s">
        <v>114</v>
      </c>
    </row>
    <row r="95" ht="12.75">
      <c r="A95" s="1" t="s">
        <v>78</v>
      </c>
    </row>
    <row r="97" spans="1:15" ht="15.75">
      <c r="A97" s="79" t="s">
        <v>141</v>
      </c>
      <c r="C97" s="225" t="s">
        <v>92</v>
      </c>
      <c r="D97" s="225"/>
      <c r="E97" s="225"/>
      <c r="F97" s="225"/>
      <c r="G97" s="225"/>
      <c r="H97" s="225"/>
      <c r="I97" s="225"/>
      <c r="J97" s="225" t="s">
        <v>91</v>
      </c>
      <c r="K97" s="225"/>
      <c r="L97" s="225"/>
      <c r="M97" s="225"/>
      <c r="N97" s="225"/>
      <c r="O97" s="225"/>
    </row>
    <row r="98" spans="2:15" s="1" customFormat="1" ht="12.75">
      <c r="B98" s="2" t="s">
        <v>32</v>
      </c>
      <c r="C98" s="225" t="s">
        <v>39</v>
      </c>
      <c r="D98" s="225"/>
      <c r="E98" s="225"/>
      <c r="F98" s="225"/>
      <c r="G98" s="3" t="s">
        <v>90</v>
      </c>
      <c r="H98" s="3"/>
      <c r="J98" s="89">
        <v>0.25</v>
      </c>
      <c r="K98" s="88" t="s">
        <v>122</v>
      </c>
      <c r="N98" s="88"/>
      <c r="O98" s="3" t="s">
        <v>90</v>
      </c>
    </row>
    <row r="99" spans="3:15" s="1" customFormat="1" ht="12.75">
      <c r="C99" s="2" t="s">
        <v>12</v>
      </c>
      <c r="D99" s="2" t="s">
        <v>85</v>
      </c>
      <c r="E99" s="2" t="s">
        <v>9</v>
      </c>
      <c r="F99" s="2" t="s">
        <v>120</v>
      </c>
      <c r="G99" s="2" t="s">
        <v>89</v>
      </c>
      <c r="H99" s="2" t="s">
        <v>79</v>
      </c>
      <c r="I99" s="2" t="s">
        <v>132</v>
      </c>
      <c r="J99" s="2" t="s">
        <v>12</v>
      </c>
      <c r="K99" s="2" t="s">
        <v>30</v>
      </c>
      <c r="L99" s="2" t="s">
        <v>9</v>
      </c>
      <c r="M99" s="2" t="s">
        <v>120</v>
      </c>
      <c r="N99" s="2" t="s">
        <v>132</v>
      </c>
      <c r="O99" s="2" t="s">
        <v>89</v>
      </c>
    </row>
    <row r="100" spans="1:15" ht="12.75">
      <c r="A100" t="s">
        <v>33</v>
      </c>
      <c r="B100" s="4" t="s">
        <v>5</v>
      </c>
      <c r="C100" s="45">
        <f>F$44*J51/1000</f>
        <v>47.1875</v>
      </c>
      <c r="D100" s="53">
        <f aca="true" t="shared" si="25" ref="D100:D114">C100*1000/$C$11</f>
        <v>1296.35989010989</v>
      </c>
      <c r="E100" s="20">
        <f aca="true" t="shared" si="26" ref="E100:E107">C100*1000000/E78</f>
        <v>188722.52197332267</v>
      </c>
      <c r="F100" s="53">
        <f>C100*1000000/E$85</f>
        <v>38890.7967032967</v>
      </c>
      <c r="G100" s="53">
        <f aca="true" t="shared" si="27" ref="G100:G107">C100*1000000/E$92</f>
        <v>20741.75824175824</v>
      </c>
      <c r="H100" s="84">
        <f aca="true" t="shared" si="28" ref="H100:H107">C100*G$12/1000</f>
        <v>11.537603021978022</v>
      </c>
      <c r="I100" s="22">
        <f aca="true" t="shared" si="29" ref="I100:I107">E100/(E100+C$21)</f>
        <v>0.5118280298239468</v>
      </c>
      <c r="J100" s="45">
        <f aca="true" t="shared" si="30" ref="J100:J107">C100*J$98</f>
        <v>11.796875</v>
      </c>
      <c r="K100" s="47">
        <f aca="true" t="shared" si="31" ref="K100:K107">J100*1000/C$11</f>
        <v>324.0899725274725</v>
      </c>
      <c r="L100" s="23" t="s">
        <v>43</v>
      </c>
      <c r="M100" s="21">
        <f>K100*L$59</f>
        <v>9722.699175824177</v>
      </c>
      <c r="N100" s="125">
        <v>1</v>
      </c>
      <c r="O100" s="6">
        <f>K100*L$66</f>
        <v>5185.43956043956</v>
      </c>
    </row>
    <row r="101" spans="1:15" ht="12.75">
      <c r="A101" s="1" t="s">
        <v>109</v>
      </c>
      <c r="B101" s="2" t="s">
        <v>5</v>
      </c>
      <c r="C101" s="48">
        <f>F$45*I53/1000</f>
        <v>6.291666666666668</v>
      </c>
      <c r="D101" s="49">
        <f t="shared" si="25"/>
        <v>172.8479853479854</v>
      </c>
      <c r="E101" s="49">
        <f t="shared" si="26"/>
        <v>16271.551724137937</v>
      </c>
      <c r="F101" s="49">
        <f>C101*1000000/E$85</f>
        <v>5185.43956043956</v>
      </c>
      <c r="G101" s="49"/>
      <c r="H101" s="86">
        <f t="shared" si="28"/>
        <v>1.53834706959707</v>
      </c>
      <c r="I101" s="51">
        <f t="shared" si="29"/>
        <v>0.08290326122762712</v>
      </c>
      <c r="J101" s="48">
        <f t="shared" si="30"/>
        <v>1.572916666666667</v>
      </c>
      <c r="K101" s="49">
        <f t="shared" si="31"/>
        <v>43.21199633699635</v>
      </c>
      <c r="L101" s="49">
        <f aca="true" t="shared" si="32" ref="L101:L107">K101*L53</f>
        <v>8426.33928571429</v>
      </c>
      <c r="M101" s="50">
        <f>K101*L$59</f>
        <v>1296.3598901098906</v>
      </c>
      <c r="N101" s="51">
        <f>L101/(L101+C$21)</f>
        <v>0.04471954036604871</v>
      </c>
      <c r="O101" s="50"/>
    </row>
    <row r="102" spans="1:15" ht="12.75">
      <c r="A102" s="1" t="s">
        <v>110</v>
      </c>
      <c r="B102" s="2" t="s">
        <v>5</v>
      </c>
      <c r="C102" s="25">
        <f>F$45*I54/1000</f>
        <v>2.1458333333333335</v>
      </c>
      <c r="D102" s="26">
        <f t="shared" si="25"/>
        <v>58.95146520146521</v>
      </c>
      <c r="E102" s="26">
        <f t="shared" si="26"/>
        <v>3666.002277904329</v>
      </c>
      <c r="F102" s="26">
        <f>C102*1000000/E$84</f>
        <v>2652.8159340659345</v>
      </c>
      <c r="G102" s="26"/>
      <c r="H102" s="85">
        <f t="shared" si="28"/>
        <v>0.5246680402930404</v>
      </c>
      <c r="I102" s="28">
        <f t="shared" si="29"/>
        <v>0.019960157200772054</v>
      </c>
      <c r="J102" s="25">
        <f t="shared" si="30"/>
        <v>0.5364583333333334</v>
      </c>
      <c r="K102" s="26">
        <f t="shared" si="31"/>
        <v>14.737866300366303</v>
      </c>
      <c r="L102" s="26">
        <f t="shared" si="32"/>
        <v>1105.3399725274728</v>
      </c>
      <c r="M102" s="27">
        <f>K102*L$58</f>
        <v>663.2039835164836</v>
      </c>
      <c r="N102" s="114">
        <f aca="true" t="shared" si="33" ref="N102:N107">L102/(L102+C$21)</f>
        <v>0.006103298625513449</v>
      </c>
      <c r="O102" s="27"/>
    </row>
    <row r="103" spans="1:15" ht="12.75">
      <c r="A103" s="1" t="s">
        <v>111</v>
      </c>
      <c r="B103" s="2" t="s">
        <v>5</v>
      </c>
      <c r="C103" s="48">
        <f>F$45*I55/1000</f>
        <v>4.145833333333334</v>
      </c>
      <c r="D103" s="49">
        <f t="shared" si="25"/>
        <v>113.89652014652017</v>
      </c>
      <c r="E103" s="49">
        <f t="shared" si="26"/>
        <v>6281.565656565657</v>
      </c>
      <c r="F103" s="49">
        <f>C103*1000000/E$85</f>
        <v>3416.8956043956046</v>
      </c>
      <c r="G103" s="49"/>
      <c r="H103" s="86">
        <f t="shared" si="28"/>
        <v>1.0136790293040294</v>
      </c>
      <c r="I103" s="51">
        <f t="shared" si="29"/>
        <v>0.033720812010709325</v>
      </c>
      <c r="J103" s="48">
        <f t="shared" si="30"/>
        <v>1.0364583333333335</v>
      </c>
      <c r="K103" s="49">
        <f t="shared" si="31"/>
        <v>28.474130036630044</v>
      </c>
      <c r="L103" s="49">
        <f t="shared" si="32"/>
        <v>1850.8184523809527</v>
      </c>
      <c r="M103" s="50">
        <f>K103*L$59</f>
        <v>854.2239010989013</v>
      </c>
      <c r="N103" s="115">
        <f t="shared" si="33"/>
        <v>0.010177674580362716</v>
      </c>
      <c r="O103" s="50"/>
    </row>
    <row r="104" spans="1:15" ht="12.75">
      <c r="A104" t="s">
        <v>87</v>
      </c>
      <c r="B104" s="4" t="s">
        <v>5</v>
      </c>
      <c r="C104" s="52">
        <f>F$43*J56/1000</f>
        <v>34.291666666666664</v>
      </c>
      <c r="D104" s="53">
        <f t="shared" si="25"/>
        <v>942.0787545787546</v>
      </c>
      <c r="E104" s="53">
        <f t="shared" si="26"/>
        <v>94786.54791154792</v>
      </c>
      <c r="F104" s="53">
        <f>C104*1000000/E$85</f>
        <v>28262.362637362632</v>
      </c>
      <c r="G104" s="53">
        <f t="shared" si="27"/>
        <v>15073.260073260071</v>
      </c>
      <c r="H104" s="87">
        <f t="shared" si="28"/>
        <v>8.384500915750916</v>
      </c>
      <c r="I104" s="55">
        <f t="shared" si="29"/>
        <v>0.34494609955236644</v>
      </c>
      <c r="J104" s="52">
        <f t="shared" si="30"/>
        <v>8.572916666666666</v>
      </c>
      <c r="K104" s="53">
        <f t="shared" si="31"/>
        <v>235.51968864468864</v>
      </c>
      <c r="L104" s="53">
        <f t="shared" si="32"/>
        <v>52991.92994505496</v>
      </c>
      <c r="M104" s="6">
        <f>K104*L$59</f>
        <v>7065.590659340659</v>
      </c>
      <c r="N104" s="55">
        <f t="shared" si="33"/>
        <v>0.2274410532482894</v>
      </c>
      <c r="O104" s="6">
        <f>K104*L$66</f>
        <v>3768.3150183150183</v>
      </c>
    </row>
    <row r="105" spans="1:15" ht="12.75">
      <c r="A105" t="s">
        <v>88</v>
      </c>
      <c r="B105" s="4" t="s">
        <v>5</v>
      </c>
      <c r="C105" s="52">
        <f>F$43*J57/1000</f>
        <v>32.145833333333336</v>
      </c>
      <c r="D105" s="53">
        <f t="shared" si="25"/>
        <v>883.1272893772895</v>
      </c>
      <c r="E105" s="53">
        <f t="shared" si="26"/>
        <v>54918.849658314364</v>
      </c>
      <c r="F105" s="53">
        <f>C105*1000000/E$85</f>
        <v>26493.81868131868</v>
      </c>
      <c r="G105" s="53">
        <f t="shared" si="27"/>
        <v>14130.036630036631</v>
      </c>
      <c r="H105" s="87">
        <f t="shared" si="28"/>
        <v>7.859832875457876</v>
      </c>
      <c r="I105" s="55">
        <f t="shared" si="29"/>
        <v>0.23377796093499068</v>
      </c>
      <c r="J105" s="52">
        <f t="shared" si="30"/>
        <v>8.036458333333334</v>
      </c>
      <c r="K105" s="53">
        <f t="shared" si="31"/>
        <v>220.78182234432236</v>
      </c>
      <c r="L105" s="53">
        <f t="shared" si="32"/>
        <v>16558.63667582418</v>
      </c>
      <c r="M105" s="6">
        <f>K105*L$59</f>
        <v>6623.454670329671</v>
      </c>
      <c r="N105" s="55">
        <f t="shared" si="33"/>
        <v>0.08424273263114679</v>
      </c>
      <c r="O105" s="6">
        <f>K105*L$66</f>
        <v>3532.509157509158</v>
      </c>
    </row>
    <row r="106" spans="1:15" ht="12.75">
      <c r="A106" t="s">
        <v>5</v>
      </c>
      <c r="B106" s="4" t="s">
        <v>5</v>
      </c>
      <c r="C106" s="52">
        <f>F$38*J58/1000</f>
        <v>31</v>
      </c>
      <c r="D106" s="53">
        <f t="shared" si="25"/>
        <v>851.6483516483516</v>
      </c>
      <c r="E106" s="53">
        <f t="shared" si="26"/>
        <v>38324.17582417583</v>
      </c>
      <c r="F106" s="53">
        <f>C106*1000000/E$85</f>
        <v>25549.450549450547</v>
      </c>
      <c r="G106" s="53">
        <f t="shared" si="27"/>
        <v>13626.373626373626</v>
      </c>
      <c r="H106" s="87">
        <f t="shared" si="28"/>
        <v>7.57967032967033</v>
      </c>
      <c r="I106" s="55">
        <f t="shared" si="29"/>
        <v>0.17553793884484714</v>
      </c>
      <c r="J106" s="52">
        <f t="shared" si="30"/>
        <v>7.75</v>
      </c>
      <c r="K106" s="53">
        <f t="shared" si="31"/>
        <v>212.9120879120879</v>
      </c>
      <c r="L106" s="53">
        <f t="shared" si="32"/>
        <v>9581.043956043955</v>
      </c>
      <c r="M106" s="6">
        <f>K106*L$59</f>
        <v>6387.3626373626375</v>
      </c>
      <c r="N106" s="55">
        <f t="shared" si="33"/>
        <v>0.05053798500163025</v>
      </c>
      <c r="O106" s="6">
        <f>K106*L$66</f>
        <v>3406.5934065934066</v>
      </c>
    </row>
    <row r="107" spans="1:15" ht="12.75">
      <c r="A107" t="s">
        <v>34</v>
      </c>
      <c r="B107" s="4" t="s">
        <v>5</v>
      </c>
      <c r="C107" s="52">
        <f>F$36*J59/1000</f>
        <v>27.452005184205596</v>
      </c>
      <c r="D107" s="53">
        <f t="shared" si="25"/>
        <v>754.1759665990548</v>
      </c>
      <c r="E107" s="53">
        <f t="shared" si="26"/>
        <v>22625.278997971644</v>
      </c>
      <c r="F107" s="53">
        <f>C107*1000000/E$85</f>
        <v>22625.278997971644</v>
      </c>
      <c r="G107" s="53">
        <f t="shared" si="27"/>
        <v>12066.815465584878</v>
      </c>
      <c r="H107" s="87">
        <f t="shared" si="28"/>
        <v>6.712166102731588</v>
      </c>
      <c r="I107" s="55">
        <f t="shared" si="29"/>
        <v>0.11166069263350961</v>
      </c>
      <c r="J107" s="52">
        <f t="shared" si="30"/>
        <v>6.863001296051399</v>
      </c>
      <c r="K107" s="53">
        <f t="shared" si="31"/>
        <v>188.5439916497637</v>
      </c>
      <c r="L107" s="53">
        <f t="shared" si="32"/>
        <v>5656.319749492912</v>
      </c>
      <c r="M107" s="6">
        <f>K107*L$59</f>
        <v>5656.319749492912</v>
      </c>
      <c r="N107" s="55">
        <f t="shared" si="33"/>
        <v>0.03046661571836076</v>
      </c>
      <c r="O107" s="6">
        <f>K107*L$66</f>
        <v>3016.7038663962194</v>
      </c>
    </row>
    <row r="108" spans="2:15" ht="12.75">
      <c r="B108" s="4"/>
      <c r="C108" s="52"/>
      <c r="D108" s="53"/>
      <c r="E108" s="53"/>
      <c r="F108" s="53"/>
      <c r="G108" s="53"/>
      <c r="H108" s="54"/>
      <c r="I108" s="55"/>
      <c r="J108" s="52"/>
      <c r="K108" s="53"/>
      <c r="L108" s="53"/>
      <c r="N108" s="55"/>
      <c r="O108" s="6"/>
    </row>
    <row r="109" spans="1:15" ht="12.75">
      <c r="A109" t="s">
        <v>33</v>
      </c>
      <c r="B109" s="4" t="s">
        <v>103</v>
      </c>
      <c r="C109" s="19">
        <f>F$44*J61/1000</f>
        <v>84.375</v>
      </c>
      <c r="D109" s="93">
        <f t="shared" si="25"/>
        <v>2317.9945054945056</v>
      </c>
      <c r="E109" s="47">
        <f aca="true" t="shared" si="34" ref="E109:E114">C109*1000000/E87</f>
        <v>168737.71588199967</v>
      </c>
      <c r="F109" s="93">
        <f aca="true" t="shared" si="35" ref="F109:F114">C109*1000000/E$92</f>
        <v>37087.91208791209</v>
      </c>
      <c r="G109" s="93">
        <f>C109*1000000/E$85</f>
        <v>69539.83516483515</v>
      </c>
      <c r="H109" s="90">
        <f aca="true" t="shared" si="36" ref="H109:H114">C109*G$12/1000</f>
        <v>20.630151098901102</v>
      </c>
      <c r="I109" s="56">
        <f aca="true" t="shared" si="37" ref="I109:I114">E109/(E109+C$21)</f>
        <v>0.4838527873454744</v>
      </c>
      <c r="J109" s="19">
        <f aca="true" t="shared" si="38" ref="J109:J114">C109*J$98</f>
        <v>21.09375</v>
      </c>
      <c r="K109" s="20">
        <f aca="true" t="shared" si="39" ref="K109:K114">J109*1000/C$11</f>
        <v>579.4986263736264</v>
      </c>
      <c r="L109" s="23" t="s">
        <v>43</v>
      </c>
      <c r="M109" s="46">
        <f aca="true" t="shared" si="40" ref="M109:M114">K109*L$66</f>
        <v>9271.978021978022</v>
      </c>
      <c r="N109" s="125">
        <v>1</v>
      </c>
      <c r="O109" s="21">
        <f>K109*L$66</f>
        <v>9271.978021978022</v>
      </c>
    </row>
    <row r="110" spans="1:15" ht="12.75">
      <c r="A110" s="1" t="s">
        <v>109</v>
      </c>
      <c r="B110" s="2" t="s">
        <v>103</v>
      </c>
      <c r="C110" s="48">
        <f>F$45*I62/1000</f>
        <v>11.583333333333336</v>
      </c>
      <c r="D110" s="49">
        <f t="shared" si="25"/>
        <v>318.2234432234433</v>
      </c>
      <c r="E110" s="49">
        <f t="shared" si="34"/>
        <v>15444.44444444445</v>
      </c>
      <c r="F110" s="49">
        <f t="shared" si="35"/>
        <v>5091.575091575092</v>
      </c>
      <c r="G110" s="49"/>
      <c r="H110" s="86">
        <f t="shared" si="36"/>
        <v>2.832188644688645</v>
      </c>
      <c r="I110" s="51">
        <f t="shared" si="37"/>
        <v>0.07902217168845939</v>
      </c>
      <c r="J110" s="48">
        <f t="shared" si="38"/>
        <v>2.895833333333334</v>
      </c>
      <c r="K110" s="49">
        <f t="shared" si="39"/>
        <v>79.55586080586083</v>
      </c>
      <c r="L110" s="49">
        <f>K110*L62</f>
        <v>8273.809523809528</v>
      </c>
      <c r="M110" s="50">
        <f t="shared" si="40"/>
        <v>1272.8937728937733</v>
      </c>
      <c r="N110" s="51">
        <f>L110/(L110+C$21)</f>
        <v>0.043945621245652884</v>
      </c>
      <c r="O110" s="50"/>
    </row>
    <row r="111" spans="1:15" ht="12.75">
      <c r="A111" s="1" t="s">
        <v>111</v>
      </c>
      <c r="B111" s="2" t="s">
        <v>103</v>
      </c>
      <c r="C111" s="48">
        <f>F$45*I63/1000</f>
        <v>7.291666666666668</v>
      </c>
      <c r="D111" s="49">
        <f t="shared" si="25"/>
        <v>200.32051282051287</v>
      </c>
      <c r="E111" s="49">
        <f t="shared" si="34"/>
        <v>5833.333333333336</v>
      </c>
      <c r="F111" s="49">
        <f t="shared" si="35"/>
        <v>3205.1282051282055</v>
      </c>
      <c r="G111" s="49"/>
      <c r="H111" s="86">
        <f t="shared" si="36"/>
        <v>1.7828525641025643</v>
      </c>
      <c r="I111" s="51">
        <f t="shared" si="37"/>
        <v>0.031390134529147996</v>
      </c>
      <c r="J111" s="48">
        <f t="shared" si="38"/>
        <v>1.822916666666667</v>
      </c>
      <c r="K111" s="49">
        <f t="shared" si="39"/>
        <v>50.08012820512822</v>
      </c>
      <c r="L111" s="49">
        <f>K111*L63</f>
        <v>1736.1111111111118</v>
      </c>
      <c r="M111" s="50">
        <f t="shared" si="40"/>
        <v>801.2820512820515</v>
      </c>
      <c r="N111" s="115">
        <f>L111/(L111+C$21)</f>
        <v>0.009552923194497518</v>
      </c>
      <c r="O111" s="50"/>
    </row>
    <row r="112" spans="1:15" ht="12.75">
      <c r="A112" t="s">
        <v>87</v>
      </c>
      <c r="B112" s="4" t="s">
        <v>103</v>
      </c>
      <c r="C112" s="52">
        <f>F$43*J64/1000</f>
        <v>58.58333333333333</v>
      </c>
      <c r="D112" s="53">
        <f t="shared" si="25"/>
        <v>1609.4322344322343</v>
      </c>
      <c r="E112" s="53">
        <f t="shared" si="34"/>
        <v>83293.83886255925</v>
      </c>
      <c r="F112" s="53">
        <f t="shared" si="35"/>
        <v>25750.91575091575</v>
      </c>
      <c r="G112" s="53">
        <f>C112*1000000/E$85</f>
        <v>48282.967032967026</v>
      </c>
      <c r="H112" s="87">
        <f t="shared" si="36"/>
        <v>14.323946886446885</v>
      </c>
      <c r="I112" s="55">
        <f t="shared" si="37"/>
        <v>0.31635316353163534</v>
      </c>
      <c r="J112" s="52">
        <f t="shared" si="38"/>
        <v>14.645833333333332</v>
      </c>
      <c r="K112" s="53">
        <f t="shared" si="39"/>
        <v>402.35805860805857</v>
      </c>
      <c r="L112" s="53">
        <f>K112*L64</f>
        <v>48282.96703296704</v>
      </c>
      <c r="M112" s="6">
        <f t="shared" si="40"/>
        <v>6437.728937728937</v>
      </c>
      <c r="N112" s="55">
        <f>L112/(L112+C$21)</f>
        <v>0.21150490402551297</v>
      </c>
      <c r="O112" s="6">
        <f>K112*L$66</f>
        <v>6437.728937728937</v>
      </c>
    </row>
    <row r="113" spans="1:15" ht="12.75">
      <c r="A113" t="s">
        <v>88</v>
      </c>
      <c r="B113" s="4" t="s">
        <v>103</v>
      </c>
      <c r="C113" s="52">
        <f>F$43*J65/1000</f>
        <v>54.29166666666667</v>
      </c>
      <c r="D113" s="53">
        <f t="shared" si="25"/>
        <v>1491.5293040293043</v>
      </c>
      <c r="E113" s="53">
        <f t="shared" si="34"/>
        <v>48911.41141141141</v>
      </c>
      <c r="F113" s="53">
        <f t="shared" si="35"/>
        <v>23864.468864468865</v>
      </c>
      <c r="G113" s="53">
        <f>C113*1000000/E$85</f>
        <v>44745.87912087912</v>
      </c>
      <c r="H113" s="87">
        <f t="shared" si="36"/>
        <v>13.274610805860808</v>
      </c>
      <c r="I113" s="55">
        <f t="shared" si="37"/>
        <v>0.21366960742514185</v>
      </c>
      <c r="J113" s="52">
        <f t="shared" si="38"/>
        <v>13.572916666666668</v>
      </c>
      <c r="K113" s="53">
        <f t="shared" si="39"/>
        <v>372.88232600732607</v>
      </c>
      <c r="L113" s="53">
        <f>K113*L65</f>
        <v>14915.293040293043</v>
      </c>
      <c r="M113" s="6">
        <f t="shared" si="40"/>
        <v>5966.117216117217</v>
      </c>
      <c r="N113" s="55">
        <f>L113/(L113+C$21)</f>
        <v>0.0765219229730206</v>
      </c>
      <c r="O113" s="6">
        <f>K113*L$66</f>
        <v>5966.117216117217</v>
      </c>
    </row>
    <row r="114" spans="1:15" ht="12.75">
      <c r="A114" t="s">
        <v>93</v>
      </c>
      <c r="B114" s="4" t="s">
        <v>103</v>
      </c>
      <c r="C114" s="52">
        <f>F$36*J66/1000</f>
        <v>45.753341973675994</v>
      </c>
      <c r="D114" s="53">
        <f t="shared" si="25"/>
        <v>1256.9599443317582</v>
      </c>
      <c r="E114" s="53">
        <f t="shared" si="34"/>
        <v>20111.35910930813</v>
      </c>
      <c r="F114" s="53">
        <f t="shared" si="35"/>
        <v>20111.35910930813</v>
      </c>
      <c r="G114" s="53">
        <f>C114*1000000/E$85</f>
        <v>37708.79832995274</v>
      </c>
      <c r="H114" s="87">
        <f t="shared" si="36"/>
        <v>11.186943504552648</v>
      </c>
      <c r="I114" s="55">
        <f t="shared" si="37"/>
        <v>0.10050083712800417</v>
      </c>
      <c r="J114" s="52">
        <f t="shared" si="38"/>
        <v>11.438335493418998</v>
      </c>
      <c r="K114" s="53">
        <f t="shared" si="39"/>
        <v>314.23998608293954</v>
      </c>
      <c r="L114" s="53">
        <f>K114*L66</f>
        <v>5027.839777327033</v>
      </c>
      <c r="M114" s="6">
        <f t="shared" si="40"/>
        <v>5027.839777327033</v>
      </c>
      <c r="N114" s="55">
        <f>L114/(L114+C$21)</f>
        <v>0.02717342310961323</v>
      </c>
      <c r="O114" s="6">
        <f>K114*L$66</f>
        <v>5027.839777327033</v>
      </c>
    </row>
    <row r="116" spans="1:5" ht="15.75">
      <c r="A116" s="79" t="s">
        <v>165</v>
      </c>
      <c r="B116" s="2" t="s">
        <v>173</v>
      </c>
      <c r="C116" s="2" t="s">
        <v>172</v>
      </c>
      <c r="D116" s="2" t="s">
        <v>169</v>
      </c>
      <c r="E116" s="2" t="s">
        <v>171</v>
      </c>
    </row>
    <row r="117" spans="2:5" ht="12.75">
      <c r="B117" s="2" t="s">
        <v>4</v>
      </c>
      <c r="C117" s="2" t="s">
        <v>163</v>
      </c>
      <c r="D117" s="2" t="s">
        <v>164</v>
      </c>
      <c r="E117" s="2" t="s">
        <v>170</v>
      </c>
    </row>
    <row r="118" spans="1:5" ht="12.75">
      <c r="A118" t="s">
        <v>162</v>
      </c>
      <c r="E118">
        <f>$C$19</f>
        <v>248</v>
      </c>
    </row>
    <row r="119" spans="1:4" ht="12.75">
      <c r="A119" t="s">
        <v>167</v>
      </c>
      <c r="B119" s="92">
        <f>C119*1000/E118</f>
        <v>572.5806451612904</v>
      </c>
      <c r="C119">
        <f>C20</f>
        <v>142</v>
      </c>
      <c r="D119">
        <f>C119/C119</f>
        <v>1</v>
      </c>
    </row>
    <row r="120" spans="1:4" ht="12.75">
      <c r="A120" t="s">
        <v>166</v>
      </c>
      <c r="B120" s="92">
        <f>(D104+D112)/2</f>
        <v>1275.7554945054944</v>
      </c>
      <c r="C120" s="92">
        <f>B120*E$118/1000</f>
        <v>316.3873626373626</v>
      </c>
      <c r="D120" s="91">
        <f>C120/C$119</f>
        <v>2.2280800185729763</v>
      </c>
    </row>
    <row r="121" spans="1:4" ht="12.75">
      <c r="A121" t="s">
        <v>168</v>
      </c>
      <c r="B121" s="92">
        <f>(D101+D110)/2</f>
        <v>245.53571428571436</v>
      </c>
      <c r="C121" s="92">
        <f>B121*E$118/1000</f>
        <v>60.89285714285716</v>
      </c>
      <c r="D121" s="91">
        <f>C121/C$119</f>
        <v>0.42882293762575463</v>
      </c>
    </row>
    <row r="124" spans="1:15" ht="15.75">
      <c r="A124" s="129" t="s">
        <v>147</v>
      </c>
      <c r="B124" s="223" t="s">
        <v>144</v>
      </c>
      <c r="C124" s="223"/>
      <c r="D124" s="223"/>
      <c r="E124" s="130" t="s">
        <v>142</v>
      </c>
      <c r="F124" s="223" t="s">
        <v>148</v>
      </c>
      <c r="G124" s="223"/>
      <c r="H124" s="227" t="s">
        <v>151</v>
      </c>
      <c r="I124" s="223"/>
      <c r="J124" s="223"/>
      <c r="K124" s="223"/>
      <c r="L124" s="223"/>
      <c r="M124" s="223"/>
      <c r="N124" s="223" t="s">
        <v>152</v>
      </c>
      <c r="O124" s="223"/>
    </row>
    <row r="125" spans="1:15" ht="25.5">
      <c r="A125" s="131" t="s">
        <v>143</v>
      </c>
      <c r="B125" s="132" t="s">
        <v>12</v>
      </c>
      <c r="C125" s="132" t="s">
        <v>145</v>
      </c>
      <c r="D125" s="132" t="s">
        <v>146</v>
      </c>
      <c r="E125" s="132" t="s">
        <v>101</v>
      </c>
      <c r="F125" s="132" t="s">
        <v>12</v>
      </c>
      <c r="G125" s="132" t="s">
        <v>145</v>
      </c>
      <c r="H125" s="132" t="s">
        <v>134</v>
      </c>
      <c r="I125" s="133" t="s">
        <v>135</v>
      </c>
      <c r="J125" s="133" t="s">
        <v>136</v>
      </c>
      <c r="K125" s="132" t="s">
        <v>133</v>
      </c>
      <c r="L125" s="134" t="s">
        <v>13</v>
      </c>
      <c r="M125" s="134" t="s">
        <v>14</v>
      </c>
      <c r="N125" s="132" t="s">
        <v>145</v>
      </c>
      <c r="O125" s="134" t="s">
        <v>14</v>
      </c>
    </row>
    <row r="126" spans="1:15" ht="12.75">
      <c r="A126" s="135" t="s">
        <v>33</v>
      </c>
      <c r="B126" s="136">
        <f aca="true" t="shared" si="41" ref="B126:C133">C100</f>
        <v>47.1875</v>
      </c>
      <c r="C126" s="137">
        <f t="shared" si="41"/>
        <v>1296.35989010989</v>
      </c>
      <c r="D126" s="137">
        <f>K100</f>
        <v>324.0899725274725</v>
      </c>
      <c r="E126" s="138">
        <f>K78</f>
        <v>0.18000018000018</v>
      </c>
      <c r="F126" s="137">
        <f>L78</f>
        <v>45</v>
      </c>
      <c r="G126" s="137">
        <f>F126*1000/C$11</f>
        <v>1236.2637362637363</v>
      </c>
      <c r="H126" s="139">
        <f aca="true" t="shared" si="42" ref="H126:H133">M78+C100</f>
        <v>92.194052006552</v>
      </c>
      <c r="I126" s="139">
        <f aca="true" t="shared" si="43" ref="I126:I140">H126*1000/$C$11</f>
        <v>2532.803626553626</v>
      </c>
      <c r="J126" s="139">
        <f aca="true" t="shared" si="44" ref="J126:J133">H126*G$12/1000</f>
        <v>22.541952276327276</v>
      </c>
      <c r="K126" s="140">
        <f aca="true" t="shared" si="45" ref="K126:K133">J126/J$130</f>
        <v>0.9273967040074304</v>
      </c>
      <c r="L126" s="140">
        <f aca="true" t="shared" si="46" ref="L126:L133">J126/J$132</f>
        <v>0.5220501246124123</v>
      </c>
      <c r="M126" s="140">
        <f aca="true" t="shared" si="47" ref="M126:M133">J126/J$140</f>
        <v>0.20251153260481264</v>
      </c>
      <c r="N126" s="138">
        <f aca="true" t="shared" si="48" ref="N126:N133">D126+E126</f>
        <v>324.26997270747273</v>
      </c>
      <c r="O126" s="140">
        <f aca="true" t="shared" si="49" ref="O126:O133">N126/N$140</f>
        <v>0.028040750892208876</v>
      </c>
    </row>
    <row r="127" spans="1:15" ht="12.75">
      <c r="A127" s="141" t="s">
        <v>109</v>
      </c>
      <c r="B127" s="142">
        <f t="shared" si="41"/>
        <v>6.291666666666668</v>
      </c>
      <c r="C127" s="143">
        <f t="shared" si="41"/>
        <v>172.8479853479854</v>
      </c>
      <c r="D127" s="143">
        <f aca="true" t="shared" si="50" ref="D127:D140">K101</f>
        <v>43.21199633699635</v>
      </c>
      <c r="E127" s="143">
        <f aca="true" t="shared" si="51" ref="E127:E140">K79</f>
        <v>923.0769230769229</v>
      </c>
      <c r="F127" s="143">
        <f aca="true" t="shared" si="52" ref="F127:F140">L79</f>
        <v>36</v>
      </c>
      <c r="G127" s="143">
        <f aca="true" t="shared" si="53" ref="G127:G140">F127*1000/C$11</f>
        <v>989.0109890109891</v>
      </c>
      <c r="H127" s="144">
        <f t="shared" si="42"/>
        <v>75.89166666666667</v>
      </c>
      <c r="I127" s="144">
        <f t="shared" si="43"/>
        <v>2084.9358974358975</v>
      </c>
      <c r="J127" s="144">
        <f t="shared" si="44"/>
        <v>18.555929487179487</v>
      </c>
      <c r="K127" s="145">
        <f t="shared" si="45"/>
        <v>0.7634080506982748</v>
      </c>
      <c r="L127" s="145">
        <f t="shared" si="46"/>
        <v>0.42973763684409216</v>
      </c>
      <c r="M127" s="145">
        <f t="shared" si="47"/>
        <v>0.1667020528342545</v>
      </c>
      <c r="N127" s="143">
        <f t="shared" si="48"/>
        <v>966.2889194139192</v>
      </c>
      <c r="O127" s="145">
        <f t="shared" si="49"/>
        <v>0.08355835926760478</v>
      </c>
    </row>
    <row r="128" spans="1:15" ht="12.75">
      <c r="A128" s="141" t="s">
        <v>110</v>
      </c>
      <c r="B128" s="146">
        <f t="shared" si="41"/>
        <v>2.1458333333333335</v>
      </c>
      <c r="C128" s="147">
        <f t="shared" si="41"/>
        <v>58.95146520146521</v>
      </c>
      <c r="D128" s="147">
        <f t="shared" si="50"/>
        <v>14.737866300366303</v>
      </c>
      <c r="E128" s="143">
        <f t="shared" si="51"/>
        <v>2400</v>
      </c>
      <c r="F128" s="143">
        <f t="shared" si="52"/>
        <v>18</v>
      </c>
      <c r="G128" s="143">
        <f t="shared" si="53"/>
        <v>494.50549450549454</v>
      </c>
      <c r="H128" s="148">
        <f t="shared" si="42"/>
        <v>107.50583333333331</v>
      </c>
      <c r="I128" s="148">
        <f t="shared" si="43"/>
        <v>2953.4569597069594</v>
      </c>
      <c r="J128" s="148">
        <f t="shared" si="44"/>
        <v>26.285766941391934</v>
      </c>
      <c r="K128" s="149">
        <f t="shared" si="45"/>
        <v>1.081420691736382</v>
      </c>
      <c r="L128" s="149">
        <f t="shared" si="46"/>
        <v>0.6087533031332577</v>
      </c>
      <c r="M128" s="149">
        <f t="shared" si="47"/>
        <v>0.23614507225198927</v>
      </c>
      <c r="N128" s="143">
        <f t="shared" si="48"/>
        <v>2414.7378663003665</v>
      </c>
      <c r="O128" s="149">
        <f t="shared" si="49"/>
        <v>0.20881077089427397</v>
      </c>
    </row>
    <row r="129" spans="1:15" ht="12.75">
      <c r="A129" s="141" t="s">
        <v>111</v>
      </c>
      <c r="B129" s="142">
        <f t="shared" si="41"/>
        <v>4.145833333333334</v>
      </c>
      <c r="C129" s="143">
        <f t="shared" si="41"/>
        <v>113.89652014652017</v>
      </c>
      <c r="D129" s="143">
        <f t="shared" si="50"/>
        <v>28.474130036630044</v>
      </c>
      <c r="E129" s="143">
        <f t="shared" si="51"/>
        <v>2769.2307692307695</v>
      </c>
      <c r="F129" s="143">
        <f t="shared" si="52"/>
        <v>18</v>
      </c>
      <c r="G129" s="143">
        <f t="shared" si="53"/>
        <v>494.50549450549454</v>
      </c>
      <c r="H129" s="148">
        <f t="shared" si="42"/>
        <v>122.94583333333333</v>
      </c>
      <c r="I129" s="148">
        <f t="shared" si="43"/>
        <v>3377.6327838827838</v>
      </c>
      <c r="J129" s="148">
        <f t="shared" si="44"/>
        <v>30.060931776556775</v>
      </c>
      <c r="K129" s="149">
        <f t="shared" si="45"/>
        <v>1.236734454373229</v>
      </c>
      <c r="L129" s="149">
        <f t="shared" si="46"/>
        <v>0.6961825217063043</v>
      </c>
      <c r="M129" s="149">
        <f t="shared" si="47"/>
        <v>0.27006025436369535</v>
      </c>
      <c r="N129" s="143">
        <f t="shared" si="48"/>
        <v>2797.7048992673995</v>
      </c>
      <c r="O129" s="149">
        <f t="shared" si="49"/>
        <v>0.2419272604714461</v>
      </c>
    </row>
    <row r="130" spans="1:15" ht="19.5">
      <c r="A130" s="135" t="s">
        <v>87</v>
      </c>
      <c r="B130" s="150">
        <f t="shared" si="41"/>
        <v>34.291666666666664</v>
      </c>
      <c r="C130" s="137">
        <f t="shared" si="41"/>
        <v>942.0787545787546</v>
      </c>
      <c r="D130" s="137">
        <f t="shared" si="50"/>
        <v>235.51968864468864</v>
      </c>
      <c r="E130" s="137">
        <f t="shared" si="51"/>
        <v>799.9999999999999</v>
      </c>
      <c r="F130" s="137">
        <f t="shared" si="52"/>
        <v>36</v>
      </c>
      <c r="G130" s="137">
        <f t="shared" si="53"/>
        <v>989.0109890109891</v>
      </c>
      <c r="H130" s="151">
        <f t="shared" si="42"/>
        <v>99.41166666666666</v>
      </c>
      <c r="I130" s="139">
        <f t="shared" si="43"/>
        <v>2731.0897435897436</v>
      </c>
      <c r="J130" s="151">
        <f t="shared" si="44"/>
        <v>24.30669871794872</v>
      </c>
      <c r="K130" s="152">
        <f t="shared" si="45"/>
        <v>1</v>
      </c>
      <c r="L130" s="153">
        <f t="shared" si="46"/>
        <v>0.5629199697999246</v>
      </c>
      <c r="M130" s="153">
        <f t="shared" si="47"/>
        <v>0.21836559449664608</v>
      </c>
      <c r="N130" s="137">
        <f t="shared" si="48"/>
        <v>1035.5196886446886</v>
      </c>
      <c r="O130" s="153">
        <f t="shared" si="49"/>
        <v>0.08954498435616103</v>
      </c>
    </row>
    <row r="131" spans="1:15" ht="12.75">
      <c r="A131" s="135" t="s">
        <v>88</v>
      </c>
      <c r="B131" s="150">
        <f t="shared" si="41"/>
        <v>32.145833333333336</v>
      </c>
      <c r="C131" s="137">
        <f t="shared" si="41"/>
        <v>883.1272893772895</v>
      </c>
      <c r="D131" s="137">
        <f t="shared" si="50"/>
        <v>220.78182234432236</v>
      </c>
      <c r="E131" s="137">
        <f t="shared" si="51"/>
        <v>2400</v>
      </c>
      <c r="F131" s="137">
        <f t="shared" si="52"/>
        <v>18</v>
      </c>
      <c r="G131" s="137">
        <f t="shared" si="53"/>
        <v>494.50549450549454</v>
      </c>
      <c r="H131" s="151">
        <f t="shared" si="42"/>
        <v>137.50583333333333</v>
      </c>
      <c r="I131" s="139">
        <f t="shared" si="43"/>
        <v>3777.6327838827833</v>
      </c>
      <c r="J131" s="151">
        <f t="shared" si="44"/>
        <v>33.62093177655677</v>
      </c>
      <c r="K131" s="153">
        <f t="shared" si="45"/>
        <v>1.383196137274297</v>
      </c>
      <c r="L131" s="153">
        <f t="shared" si="46"/>
        <v>0.7786287278218196</v>
      </c>
      <c r="M131" s="153">
        <f t="shared" si="47"/>
        <v>0.30204244682136633</v>
      </c>
      <c r="N131" s="137">
        <f t="shared" si="48"/>
        <v>2620.7818223443223</v>
      </c>
      <c r="O131" s="153">
        <f t="shared" si="49"/>
        <v>0.22662810746735795</v>
      </c>
    </row>
    <row r="132" spans="1:15" ht="19.5">
      <c r="A132" s="135" t="s">
        <v>5</v>
      </c>
      <c r="B132" s="150">
        <f t="shared" si="41"/>
        <v>31</v>
      </c>
      <c r="C132" s="137">
        <f t="shared" si="41"/>
        <v>851.6483516483516</v>
      </c>
      <c r="D132" s="137">
        <f t="shared" si="50"/>
        <v>212.9120879120879</v>
      </c>
      <c r="E132" s="137">
        <f t="shared" si="51"/>
        <v>4000</v>
      </c>
      <c r="F132" s="154">
        <v>0</v>
      </c>
      <c r="G132" s="154">
        <f t="shared" si="53"/>
        <v>0</v>
      </c>
      <c r="H132" s="151">
        <f t="shared" si="42"/>
        <v>176.59999999999997</v>
      </c>
      <c r="I132" s="139">
        <f t="shared" si="43"/>
        <v>4851.648351648351</v>
      </c>
      <c r="J132" s="151">
        <f t="shared" si="44"/>
        <v>43.17967032967032</v>
      </c>
      <c r="K132" s="153">
        <f t="shared" si="45"/>
        <v>1.7764514560665243</v>
      </c>
      <c r="L132" s="152">
        <f t="shared" si="46"/>
        <v>1</v>
      </c>
      <c r="M132" s="153">
        <f t="shared" si="47"/>
        <v>0.38791587829839913</v>
      </c>
      <c r="N132" s="137">
        <f t="shared" si="48"/>
        <v>4212.912087912088</v>
      </c>
      <c r="O132" s="153">
        <f t="shared" si="49"/>
        <v>0.3643051417976577</v>
      </c>
    </row>
    <row r="133" spans="1:15" ht="12.75">
      <c r="A133" s="135" t="s">
        <v>34</v>
      </c>
      <c r="B133" s="150">
        <f t="shared" si="41"/>
        <v>27.452005184205596</v>
      </c>
      <c r="C133" s="137">
        <f t="shared" si="41"/>
        <v>754.1759665990548</v>
      </c>
      <c r="D133" s="137">
        <f t="shared" si="50"/>
        <v>188.5439916497637</v>
      </c>
      <c r="E133" s="137">
        <f t="shared" si="51"/>
        <v>6000</v>
      </c>
      <c r="F133" s="154">
        <f t="shared" si="52"/>
        <v>0</v>
      </c>
      <c r="G133" s="154">
        <f t="shared" si="53"/>
        <v>0</v>
      </c>
      <c r="H133" s="151">
        <f t="shared" si="42"/>
        <v>245.85200518420564</v>
      </c>
      <c r="I133" s="139">
        <f t="shared" si="43"/>
        <v>6754.175966599056</v>
      </c>
      <c r="J133" s="151">
        <f t="shared" si="44"/>
        <v>60.1121661027316</v>
      </c>
      <c r="K133" s="153">
        <f t="shared" si="45"/>
        <v>2.4730699466951123</v>
      </c>
      <c r="L133" s="153">
        <f t="shared" si="46"/>
        <v>1.392140459706714</v>
      </c>
      <c r="M133" s="153">
        <f t="shared" si="47"/>
        <v>0.540033389141867</v>
      </c>
      <c r="N133" s="137">
        <f t="shared" si="48"/>
        <v>6188.5439916497635</v>
      </c>
      <c r="O133" s="153">
        <f t="shared" si="49"/>
        <v>0.5351448948739742</v>
      </c>
    </row>
    <row r="134" spans="1:15" ht="12.75">
      <c r="A134" s="135"/>
      <c r="B134" s="150"/>
      <c r="C134" s="137"/>
      <c r="D134" s="137"/>
      <c r="E134" s="137"/>
      <c r="F134" s="137"/>
      <c r="G134" s="137"/>
      <c r="H134" s="151"/>
      <c r="I134" s="139"/>
      <c r="J134" s="151"/>
      <c r="K134" s="153"/>
      <c r="L134" s="153"/>
      <c r="M134" s="153"/>
      <c r="N134" s="137"/>
      <c r="O134" s="153"/>
    </row>
    <row r="135" spans="1:15" ht="12.75">
      <c r="A135" s="135" t="s">
        <v>33</v>
      </c>
      <c r="B135" s="155">
        <f aca="true" t="shared" si="54" ref="B135:C140">C109</f>
        <v>84.375</v>
      </c>
      <c r="C135" s="156">
        <f t="shared" si="54"/>
        <v>2317.9945054945056</v>
      </c>
      <c r="D135" s="156">
        <f t="shared" si="50"/>
        <v>579.4986263736264</v>
      </c>
      <c r="E135" s="138">
        <f t="shared" si="51"/>
        <v>0.18000018000018</v>
      </c>
      <c r="F135" s="137">
        <f t="shared" si="52"/>
        <v>90</v>
      </c>
      <c r="G135" s="137">
        <f t="shared" si="53"/>
        <v>2472.5274725274726</v>
      </c>
      <c r="H135" s="139">
        <f aca="true" t="shared" si="55" ref="H135:H140">M87+C109</f>
        <v>174.381552006552</v>
      </c>
      <c r="I135" s="139">
        <f t="shared" si="43"/>
        <v>4790.701978201978</v>
      </c>
      <c r="J135" s="139">
        <f aca="true" t="shared" si="56" ref="J135:J140">H135*G$12/1000</f>
        <v>42.6372476059976</v>
      </c>
      <c r="K135" s="140">
        <f aca="true" t="shared" si="57" ref="K135:K140">J135/J$130</f>
        <v>1.7541356850123424</v>
      </c>
      <c r="L135" s="140">
        <f aca="true" t="shared" si="58" ref="L135:L140">J135/J$132</f>
        <v>0.9874380068321179</v>
      </c>
      <c r="M135" s="140">
        <f aca="true" t="shared" si="59" ref="M135:M140">J135/J$140</f>
        <v>0.38304288168550166</v>
      </c>
      <c r="N135" s="137">
        <f aca="true" t="shared" si="60" ref="N135:N140">D135+E135</f>
        <v>579.6786265536266</v>
      </c>
      <c r="O135" s="140">
        <f aca="true" t="shared" si="61" ref="O135:O140">N135/N$140</f>
        <v>0.05012682435259426</v>
      </c>
    </row>
    <row r="136" spans="1:15" ht="12.75">
      <c r="A136" s="141" t="s">
        <v>109</v>
      </c>
      <c r="B136" s="142">
        <f t="shared" si="54"/>
        <v>11.583333333333336</v>
      </c>
      <c r="C136" s="143">
        <f t="shared" si="54"/>
        <v>318.2234432234433</v>
      </c>
      <c r="D136" s="143">
        <f t="shared" si="50"/>
        <v>79.55586080586083</v>
      </c>
      <c r="E136" s="143">
        <f t="shared" si="51"/>
        <v>1730.7692307692303</v>
      </c>
      <c r="F136" s="143">
        <f t="shared" si="52"/>
        <v>72</v>
      </c>
      <c r="G136" s="143">
        <f t="shared" si="53"/>
        <v>1978.0219780219782</v>
      </c>
      <c r="H136" s="148">
        <f t="shared" si="55"/>
        <v>146.58333333333331</v>
      </c>
      <c r="I136" s="148">
        <f t="shared" si="43"/>
        <v>4027.014652014652</v>
      </c>
      <c r="J136" s="148">
        <f t="shared" si="56"/>
        <v>35.840430402930394</v>
      </c>
      <c r="K136" s="149">
        <f t="shared" si="57"/>
        <v>1.4745083575033107</v>
      </c>
      <c r="L136" s="149">
        <f t="shared" si="58"/>
        <v>0.8300302000755001</v>
      </c>
      <c r="M136" s="149">
        <f t="shared" si="59"/>
        <v>0.3219818940764836</v>
      </c>
      <c r="N136" s="143">
        <f t="shared" si="60"/>
        <v>1810.3250915750912</v>
      </c>
      <c r="O136" s="149">
        <f t="shared" si="61"/>
        <v>0.15654509883517972</v>
      </c>
    </row>
    <row r="137" spans="1:15" ht="12.75">
      <c r="A137" s="141" t="s">
        <v>111</v>
      </c>
      <c r="B137" s="142">
        <f t="shared" si="54"/>
        <v>7.291666666666668</v>
      </c>
      <c r="C137" s="143">
        <f t="shared" si="54"/>
        <v>200.32051282051287</v>
      </c>
      <c r="D137" s="143">
        <f t="shared" si="50"/>
        <v>50.08012820512822</v>
      </c>
      <c r="E137" s="143">
        <f t="shared" si="51"/>
        <v>5192.307692307692</v>
      </c>
      <c r="F137" s="143">
        <f t="shared" si="52"/>
        <v>36</v>
      </c>
      <c r="G137" s="143">
        <f t="shared" si="53"/>
        <v>989.0109890109891</v>
      </c>
      <c r="H137" s="148">
        <f t="shared" si="55"/>
        <v>232.29166666666663</v>
      </c>
      <c r="I137" s="148">
        <f t="shared" si="43"/>
        <v>6381.639194139193</v>
      </c>
      <c r="J137" s="148">
        <f t="shared" si="56"/>
        <v>56.796588827838825</v>
      </c>
      <c r="K137" s="149">
        <f t="shared" si="57"/>
        <v>2.3366640401026033</v>
      </c>
      <c r="L137" s="149">
        <f t="shared" si="58"/>
        <v>1.3153548508871273</v>
      </c>
      <c r="M137" s="149">
        <f t="shared" si="59"/>
        <v>0.5102470322559398</v>
      </c>
      <c r="N137" s="143">
        <f t="shared" si="60"/>
        <v>5242.38782051282</v>
      </c>
      <c r="O137" s="149">
        <f t="shared" si="61"/>
        <v>0.4533274842810082</v>
      </c>
    </row>
    <row r="138" spans="1:15" ht="12.75">
      <c r="A138" s="135" t="s">
        <v>87</v>
      </c>
      <c r="B138" s="150">
        <f t="shared" si="54"/>
        <v>58.58333333333333</v>
      </c>
      <c r="C138" s="137">
        <f t="shared" si="54"/>
        <v>1609.4322344322343</v>
      </c>
      <c r="D138" s="137">
        <f t="shared" si="50"/>
        <v>402.35805860805857</v>
      </c>
      <c r="E138" s="137">
        <f t="shared" si="51"/>
        <v>1499.9999999999998</v>
      </c>
      <c r="F138" s="137">
        <f t="shared" si="52"/>
        <v>72</v>
      </c>
      <c r="G138" s="137">
        <f t="shared" si="53"/>
        <v>1978.0219780219782</v>
      </c>
      <c r="H138" s="151">
        <f t="shared" si="55"/>
        <v>185.1833333333333</v>
      </c>
      <c r="I138" s="139">
        <f t="shared" si="43"/>
        <v>5087.454212454212</v>
      </c>
      <c r="J138" s="151">
        <f t="shared" si="56"/>
        <v>45.27834249084248</v>
      </c>
      <c r="K138" s="153">
        <f t="shared" si="57"/>
        <v>1.8627927640954276</v>
      </c>
      <c r="L138" s="153">
        <f t="shared" si="58"/>
        <v>1.0486032465081163</v>
      </c>
      <c r="M138" s="153">
        <f t="shared" si="59"/>
        <v>0.40676984935574867</v>
      </c>
      <c r="N138" s="137">
        <f t="shared" si="60"/>
        <v>1902.3580586080584</v>
      </c>
      <c r="O138" s="153">
        <f t="shared" si="61"/>
        <v>0.16450350917115728</v>
      </c>
    </row>
    <row r="139" spans="1:15" ht="12.75">
      <c r="A139" s="135" t="s">
        <v>88</v>
      </c>
      <c r="B139" s="150">
        <f t="shared" si="54"/>
        <v>54.29166666666667</v>
      </c>
      <c r="C139" s="137">
        <f t="shared" si="54"/>
        <v>1491.5293040293043</v>
      </c>
      <c r="D139" s="137">
        <f t="shared" si="50"/>
        <v>372.88232600732607</v>
      </c>
      <c r="E139" s="137">
        <f t="shared" si="51"/>
        <v>4500</v>
      </c>
      <c r="F139" s="137">
        <f t="shared" si="52"/>
        <v>36</v>
      </c>
      <c r="G139" s="137">
        <f t="shared" si="53"/>
        <v>989.0109890109891</v>
      </c>
      <c r="H139" s="151">
        <f t="shared" si="55"/>
        <v>254.0916666666667</v>
      </c>
      <c r="I139" s="139">
        <f t="shared" si="43"/>
        <v>6980.540293040294</v>
      </c>
      <c r="J139" s="151">
        <f t="shared" si="56"/>
        <v>62.12680860805862</v>
      </c>
      <c r="K139" s="153">
        <f t="shared" si="57"/>
        <v>2.5559541971934885</v>
      </c>
      <c r="L139" s="153">
        <f t="shared" si="58"/>
        <v>1.4387976594941492</v>
      </c>
      <c r="M139" s="153">
        <f t="shared" si="59"/>
        <v>0.5581324577763539</v>
      </c>
      <c r="N139" s="137">
        <f t="shared" si="60"/>
        <v>4872.882326007326</v>
      </c>
      <c r="O139" s="153">
        <f t="shared" si="61"/>
        <v>0.42137506069327757</v>
      </c>
    </row>
    <row r="140" spans="1:15" ht="19.5">
      <c r="A140" s="135" t="s">
        <v>93</v>
      </c>
      <c r="B140" s="150">
        <f t="shared" si="54"/>
        <v>45.753341973675994</v>
      </c>
      <c r="C140" s="137">
        <f t="shared" si="54"/>
        <v>1256.9599443317582</v>
      </c>
      <c r="D140" s="137">
        <f t="shared" si="50"/>
        <v>314.23998608293954</v>
      </c>
      <c r="E140" s="157">
        <f t="shared" si="51"/>
        <v>11250</v>
      </c>
      <c r="F140" s="154">
        <f t="shared" si="52"/>
        <v>0</v>
      </c>
      <c r="G140" s="154">
        <f t="shared" si="53"/>
        <v>0</v>
      </c>
      <c r="H140" s="158">
        <f t="shared" si="55"/>
        <v>455.253341973676</v>
      </c>
      <c r="I140" s="157">
        <f t="shared" si="43"/>
        <v>12506.959944331758</v>
      </c>
      <c r="J140" s="158">
        <f t="shared" si="56"/>
        <v>111.31194350455264</v>
      </c>
      <c r="K140" s="159">
        <f t="shared" si="57"/>
        <v>4.579476003557691</v>
      </c>
      <c r="L140" s="159">
        <f t="shared" si="58"/>
        <v>2.577878493622175</v>
      </c>
      <c r="M140" s="160">
        <f t="shared" si="59"/>
        <v>1</v>
      </c>
      <c r="N140" s="157">
        <f t="shared" si="60"/>
        <v>11564.23998608294</v>
      </c>
      <c r="O140" s="160">
        <f t="shared" si="61"/>
        <v>1</v>
      </c>
    </row>
    <row r="142" spans="1:7" ht="15.75">
      <c r="A142" s="107"/>
      <c r="B142" s="107"/>
      <c r="C142" s="107"/>
      <c r="D142" s="107"/>
      <c r="E142" s="107"/>
      <c r="F142" s="107"/>
      <c r="G142" s="107"/>
    </row>
    <row r="143" spans="1:12" ht="63.75" customHeight="1">
      <c r="A143" s="226" t="s">
        <v>121</v>
      </c>
      <c r="B143" s="226"/>
      <c r="C143" s="226"/>
      <c r="D143" s="226"/>
      <c r="E143" s="226"/>
      <c r="F143" s="106" t="s">
        <v>139</v>
      </c>
      <c r="G143" s="106" t="s">
        <v>137</v>
      </c>
      <c r="H143" s="224" t="s">
        <v>140</v>
      </c>
      <c r="I143" s="224"/>
      <c r="J143" s="106" t="s">
        <v>138</v>
      </c>
      <c r="K143" s="224" t="s">
        <v>84</v>
      </c>
      <c r="L143" s="224"/>
    </row>
    <row r="144" spans="1:13" ht="24">
      <c r="A144" s="109" t="s">
        <v>81</v>
      </c>
      <c r="B144" s="110" t="s">
        <v>32</v>
      </c>
      <c r="C144" s="111" t="s">
        <v>80</v>
      </c>
      <c r="D144" s="110" t="s">
        <v>82</v>
      </c>
      <c r="E144" s="112" t="s">
        <v>83</v>
      </c>
      <c r="F144" s="112" t="s">
        <v>86</v>
      </c>
      <c r="G144" s="112" t="s">
        <v>4</v>
      </c>
      <c r="H144" s="112" t="s">
        <v>12</v>
      </c>
      <c r="I144" s="112" t="s">
        <v>86</v>
      </c>
      <c r="J144" s="112" t="s">
        <v>86</v>
      </c>
      <c r="K144" s="110" t="s">
        <v>82</v>
      </c>
      <c r="L144" s="112" t="s">
        <v>83</v>
      </c>
      <c r="M144" s="128" t="s">
        <v>153</v>
      </c>
    </row>
    <row r="145" spans="1:13" ht="12.75">
      <c r="A145" s="100" t="s">
        <v>33</v>
      </c>
      <c r="B145" s="102" t="s">
        <v>5</v>
      </c>
      <c r="C145" s="103">
        <f>D51</f>
        <v>1</v>
      </c>
      <c r="D145" s="95">
        <f>$C100*1000000/H78</f>
        <v>48985.4149524782</v>
      </c>
      <c r="E145" s="95">
        <f>$K100*1000/F78</f>
        <v>9722.99086584184</v>
      </c>
      <c r="F145" s="116">
        <f>D100</f>
        <v>1296.35989010989</v>
      </c>
      <c r="G145" s="126">
        <f>K78</f>
        <v>0.18000018000018</v>
      </c>
      <c r="H145" s="116">
        <f>D78*C$21/1000000</f>
        <v>45</v>
      </c>
      <c r="I145" s="116">
        <f aca="true" t="shared" si="62" ref="I145:I152">D78*C$21/(C$11*1000)</f>
        <v>1236.2637362637363</v>
      </c>
      <c r="J145" s="116">
        <f aca="true" t="shared" si="63" ref="J145:J152">I126</f>
        <v>2532.803626553626</v>
      </c>
      <c r="K145" s="95">
        <f>$C100*1000000/I78</f>
        <v>23302.888012825624</v>
      </c>
      <c r="L145" s="95">
        <f>$K100*1000/G78</f>
        <v>5185.5225288829915</v>
      </c>
      <c r="M145" s="91">
        <f>D145/E145</f>
        <v>5.038101508926689</v>
      </c>
    </row>
    <row r="146" spans="1:13" ht="12.75">
      <c r="A146" s="101" t="s">
        <v>109</v>
      </c>
      <c r="B146" s="94" t="s">
        <v>5</v>
      </c>
      <c r="C146" s="104">
        <f aca="true" t="shared" si="64" ref="C146:C152">D53</f>
        <v>0.8</v>
      </c>
      <c r="D146" s="97">
        <f aca="true" t="shared" si="65" ref="D146:D151">$C101*1000000/H79</f>
        <v>7610.887096774193</v>
      </c>
      <c r="E146" s="96">
        <f aca="true" t="shared" si="66" ref="E146:E151">$K101*1000/F79</f>
        <v>1532.0616883116886</v>
      </c>
      <c r="F146" s="97">
        <f aca="true" t="shared" si="67" ref="F146:F159">D101</f>
        <v>172.8479853479854</v>
      </c>
      <c r="G146" s="97">
        <f aca="true" t="shared" si="68" ref="G146:G159">K79</f>
        <v>923.0769230769229</v>
      </c>
      <c r="H146" s="97">
        <f aca="true" t="shared" si="69" ref="H146:H159">D79*C$21/1000000</f>
        <v>36</v>
      </c>
      <c r="I146" s="97">
        <f t="shared" si="62"/>
        <v>989.010989010989</v>
      </c>
      <c r="J146" s="96">
        <f t="shared" si="63"/>
        <v>2084.9358974358975</v>
      </c>
      <c r="K146" s="97"/>
      <c r="L146" s="97"/>
      <c r="M146" s="91">
        <f aca="true" t="shared" si="70" ref="M146:M158">D146/E146</f>
        <v>4.96774193548387</v>
      </c>
    </row>
    <row r="147" spans="1:13" ht="12.75">
      <c r="A147" s="101" t="s">
        <v>110</v>
      </c>
      <c r="B147" s="94" t="s">
        <v>5</v>
      </c>
      <c r="C147" s="104">
        <f t="shared" si="64"/>
        <v>0.4</v>
      </c>
      <c r="D147" s="97">
        <f t="shared" si="65"/>
        <v>9598.658051689861</v>
      </c>
      <c r="E147" s="97">
        <f t="shared" si="66"/>
        <v>1658.0099587912093</v>
      </c>
      <c r="F147" s="96">
        <f t="shared" si="67"/>
        <v>58.95146520146521</v>
      </c>
      <c r="G147" s="97">
        <f t="shared" si="68"/>
        <v>2400</v>
      </c>
      <c r="H147" s="97">
        <f t="shared" si="69"/>
        <v>18</v>
      </c>
      <c r="I147" s="97">
        <f t="shared" si="62"/>
        <v>494.5054945054945</v>
      </c>
      <c r="J147" s="97">
        <f t="shared" si="63"/>
        <v>2953.4569597069594</v>
      </c>
      <c r="K147" s="96"/>
      <c r="L147" s="96"/>
      <c r="M147" s="91">
        <f t="shared" si="70"/>
        <v>5.789264413518885</v>
      </c>
    </row>
    <row r="148" spans="1:13" ht="12.75">
      <c r="A148" s="101" t="s">
        <v>111</v>
      </c>
      <c r="B148" s="94" t="s">
        <v>5</v>
      </c>
      <c r="C148" s="104">
        <f t="shared" si="64"/>
        <v>0.4</v>
      </c>
      <c r="D148" s="96">
        <f t="shared" si="65"/>
        <v>7492.469879518071</v>
      </c>
      <c r="E148" s="97">
        <f t="shared" si="66"/>
        <v>1586.4158163265308</v>
      </c>
      <c r="F148" s="97">
        <f t="shared" si="67"/>
        <v>113.89652014652017</v>
      </c>
      <c r="G148" s="97">
        <f t="shared" si="68"/>
        <v>2769.2307692307695</v>
      </c>
      <c r="H148" s="97">
        <f t="shared" si="69"/>
        <v>18</v>
      </c>
      <c r="I148" s="97">
        <f t="shared" si="62"/>
        <v>494.5054945054945</v>
      </c>
      <c r="J148" s="97">
        <f t="shared" si="63"/>
        <v>3377.6327838827838</v>
      </c>
      <c r="K148" s="97"/>
      <c r="L148" s="97"/>
      <c r="M148" s="91">
        <f t="shared" si="70"/>
        <v>4.722891566265059</v>
      </c>
    </row>
    <row r="149" spans="1:13" ht="12.75">
      <c r="A149" s="100" t="s">
        <v>87</v>
      </c>
      <c r="B149" s="102" t="s">
        <v>5</v>
      </c>
      <c r="C149" s="103">
        <f t="shared" si="64"/>
        <v>0.8</v>
      </c>
      <c r="D149" s="95">
        <f t="shared" si="65"/>
        <v>40269.441544885165</v>
      </c>
      <c r="E149" s="95">
        <f t="shared" si="66"/>
        <v>8152.604606931529</v>
      </c>
      <c r="F149" s="116">
        <f t="shared" si="67"/>
        <v>942.0787545787546</v>
      </c>
      <c r="G149" s="116">
        <f t="shared" si="68"/>
        <v>799.9999999999999</v>
      </c>
      <c r="H149" s="116">
        <f t="shared" si="69"/>
        <v>36</v>
      </c>
      <c r="I149" s="116">
        <f t="shared" si="62"/>
        <v>989.010989010989</v>
      </c>
      <c r="J149" s="116">
        <f t="shared" si="63"/>
        <v>2731.0897435897436</v>
      </c>
      <c r="K149" s="108">
        <f>$C104*1000000/I82</f>
        <v>17923.514722109296</v>
      </c>
      <c r="L149" s="108">
        <f>$K104*1000/G82</f>
        <v>4056.7984646932014</v>
      </c>
      <c r="M149" s="91">
        <f t="shared" si="70"/>
        <v>4.939457202505218</v>
      </c>
    </row>
    <row r="150" spans="1:13" ht="12.75">
      <c r="A150" s="100" t="s">
        <v>88</v>
      </c>
      <c r="B150" s="102" t="s">
        <v>5</v>
      </c>
      <c r="C150" s="103">
        <f t="shared" si="64"/>
        <v>0.4</v>
      </c>
      <c r="D150" s="95">
        <f t="shared" si="65"/>
        <v>51187.63269639065</v>
      </c>
      <c r="E150" s="95">
        <f t="shared" si="66"/>
        <v>11039.091117216118</v>
      </c>
      <c r="F150" s="116">
        <f t="shared" si="67"/>
        <v>883.1272893772895</v>
      </c>
      <c r="G150" s="116">
        <f t="shared" si="68"/>
        <v>2400</v>
      </c>
      <c r="H150" s="116">
        <f t="shared" si="69"/>
        <v>18</v>
      </c>
      <c r="I150" s="116">
        <f t="shared" si="62"/>
        <v>494.5054945054945</v>
      </c>
      <c r="J150" s="116">
        <f t="shared" si="63"/>
        <v>3777.6327838827833</v>
      </c>
      <c r="K150" s="95">
        <f>$C105*1000000/I83</f>
        <v>19024.955612546855</v>
      </c>
      <c r="L150" s="95">
        <f>$K105*1000/G83</f>
        <v>4490.4777425963875</v>
      </c>
      <c r="M150" s="91">
        <f t="shared" si="70"/>
        <v>4.636942675159235</v>
      </c>
    </row>
    <row r="151" spans="1:13" ht="12.75">
      <c r="A151" s="100" t="s">
        <v>5</v>
      </c>
      <c r="B151" s="102" t="s">
        <v>5</v>
      </c>
      <c r="C151" s="105">
        <f t="shared" si="64"/>
        <v>0</v>
      </c>
      <c r="D151" s="99">
        <f t="shared" si="65"/>
        <v>76648.3516483516</v>
      </c>
      <c r="E151" s="99">
        <f t="shared" si="66"/>
        <v>19162.087912087907</v>
      </c>
      <c r="F151" s="116">
        <f t="shared" si="67"/>
        <v>851.6483516483516</v>
      </c>
      <c r="G151" s="116">
        <f t="shared" si="68"/>
        <v>4000</v>
      </c>
      <c r="H151" s="127">
        <f t="shared" si="69"/>
        <v>0</v>
      </c>
      <c r="I151" s="127">
        <f t="shared" si="62"/>
        <v>0</v>
      </c>
      <c r="J151" s="116">
        <f t="shared" si="63"/>
        <v>4851.648351648351</v>
      </c>
      <c r="K151" s="95">
        <f>$C106*1000000/I84</f>
        <v>21144.372868510796</v>
      </c>
      <c r="L151" s="95">
        <f>$K106*1000/G84</f>
        <v>5286.0932171277</v>
      </c>
      <c r="M151" s="91">
        <f t="shared" si="70"/>
        <v>3.9999999999999987</v>
      </c>
    </row>
    <row r="152" spans="1:13" ht="12.75">
      <c r="A152" s="100" t="s">
        <v>34</v>
      </c>
      <c r="B152" s="102" t="s">
        <v>5</v>
      </c>
      <c r="C152" s="105">
        <f t="shared" si="64"/>
        <v>0</v>
      </c>
      <c r="D152" s="98" t="s">
        <v>11</v>
      </c>
      <c r="E152" s="98" t="s">
        <v>11</v>
      </c>
      <c r="F152" s="116">
        <f t="shared" si="67"/>
        <v>754.1759665990548</v>
      </c>
      <c r="G152" s="116">
        <f t="shared" si="68"/>
        <v>6000</v>
      </c>
      <c r="H152" s="127">
        <f t="shared" si="69"/>
        <v>0</v>
      </c>
      <c r="I152" s="127">
        <f t="shared" si="62"/>
        <v>0</v>
      </c>
      <c r="J152" s="116">
        <f t="shared" si="63"/>
        <v>6754.175966599056</v>
      </c>
      <c r="K152" s="95">
        <f>$C107*1000000/I85</f>
        <v>25857.461711967597</v>
      </c>
      <c r="L152" s="95">
        <f>$K107*1000/G85</f>
        <v>6464.365427991899</v>
      </c>
      <c r="M152" s="91"/>
    </row>
    <row r="153" spans="1:13" ht="12.75">
      <c r="A153" s="100"/>
      <c r="B153" s="102"/>
      <c r="C153" s="103"/>
      <c r="D153" s="95"/>
      <c r="E153" s="95"/>
      <c r="F153" s="116"/>
      <c r="G153" s="116"/>
      <c r="H153" s="116"/>
      <c r="I153" s="116"/>
      <c r="J153" s="116"/>
      <c r="K153" s="95"/>
      <c r="L153" s="95"/>
      <c r="M153" s="91"/>
    </row>
    <row r="154" spans="1:13" ht="12.75">
      <c r="A154" s="100" t="s">
        <v>33</v>
      </c>
      <c r="B154" s="102" t="s">
        <v>103</v>
      </c>
      <c r="C154" s="103">
        <f aca="true" t="shared" si="71" ref="C154:C159">D61</f>
        <v>1</v>
      </c>
      <c r="D154" s="95">
        <f>$C109*1000000/H87</f>
        <v>47536.18609515728</v>
      </c>
      <c r="E154" s="95">
        <f>$K109*1000/F87</f>
        <v>9272.126376148395</v>
      </c>
      <c r="F154" s="117">
        <f t="shared" si="67"/>
        <v>2317.9945054945056</v>
      </c>
      <c r="G154" s="126">
        <f t="shared" si="68"/>
        <v>0.18000018000018</v>
      </c>
      <c r="H154" s="117">
        <f t="shared" si="69"/>
        <v>90</v>
      </c>
      <c r="I154" s="117">
        <f aca="true" t="shared" si="72" ref="I154:I159">D87*C$21/(C$11*1000)</f>
        <v>2472.5274725274726</v>
      </c>
      <c r="J154" s="116">
        <f aca="true" t="shared" si="73" ref="J154:J159">I135</f>
        <v>4790.701978201978</v>
      </c>
      <c r="K154" s="95">
        <f>$C109*1000000/I87</f>
        <v>118288.74632897953</v>
      </c>
      <c r="L154" s="95">
        <f>$K109*1000/G87</f>
        <v>17385.48035614104</v>
      </c>
      <c r="M154" s="91">
        <f t="shared" si="70"/>
        <v>5.126783670403728</v>
      </c>
    </row>
    <row r="155" spans="1:13" ht="12.75">
      <c r="A155" s="101" t="s">
        <v>109</v>
      </c>
      <c r="B155" s="94" t="s">
        <v>103</v>
      </c>
      <c r="C155" s="104">
        <f t="shared" si="71"/>
        <v>0.8</v>
      </c>
      <c r="D155" s="97">
        <f>$C110*1000000/H88</f>
        <v>7595.628415300548</v>
      </c>
      <c r="E155" s="97">
        <f>$K110*1000/F88</f>
        <v>1504.3290043290049</v>
      </c>
      <c r="F155" s="97">
        <f t="shared" si="67"/>
        <v>318.2234432234433</v>
      </c>
      <c r="G155" s="97">
        <f t="shared" si="68"/>
        <v>1730.7692307692303</v>
      </c>
      <c r="H155" s="97">
        <f t="shared" si="69"/>
        <v>72</v>
      </c>
      <c r="I155" s="97">
        <f t="shared" si="72"/>
        <v>1978.021978021978</v>
      </c>
      <c r="J155" s="97">
        <f t="shared" si="73"/>
        <v>4027.014652014652</v>
      </c>
      <c r="K155" s="97"/>
      <c r="L155" s="97"/>
      <c r="M155" s="91">
        <f t="shared" si="70"/>
        <v>5.049180327868852</v>
      </c>
    </row>
    <row r="156" spans="1:13" ht="12.75">
      <c r="A156" s="101" t="s">
        <v>111</v>
      </c>
      <c r="B156" s="94" t="s">
        <v>103</v>
      </c>
      <c r="C156" s="104">
        <f t="shared" si="71"/>
        <v>0.4</v>
      </c>
      <c r="D156" s="97">
        <f>$C111*1000000/H89</f>
        <v>7113.821138211381</v>
      </c>
      <c r="E156" s="97">
        <f>$K111*1000/F89</f>
        <v>1488.095238095238</v>
      </c>
      <c r="F156" s="97">
        <f t="shared" si="67"/>
        <v>200.32051282051287</v>
      </c>
      <c r="G156" s="97">
        <f t="shared" si="68"/>
        <v>5192.307692307692</v>
      </c>
      <c r="H156" s="97">
        <f t="shared" si="69"/>
        <v>36</v>
      </c>
      <c r="I156" s="97">
        <f t="shared" si="72"/>
        <v>989.010989010989</v>
      </c>
      <c r="J156" s="97">
        <f t="shared" si="73"/>
        <v>6381.639194139193</v>
      </c>
      <c r="K156" s="97"/>
      <c r="L156" s="97"/>
      <c r="M156" s="91">
        <f t="shared" si="70"/>
        <v>4.780487804878049</v>
      </c>
    </row>
    <row r="157" spans="1:13" ht="12.75">
      <c r="A157" s="100" t="s">
        <v>87</v>
      </c>
      <c r="B157" s="102" t="s">
        <v>103</v>
      </c>
      <c r="C157" s="103">
        <f t="shared" si="71"/>
        <v>0.8</v>
      </c>
      <c r="D157" s="95">
        <f>$C112*1000000/H90</f>
        <v>37274.6553552492</v>
      </c>
      <c r="E157" s="95">
        <f>$K112*1000/F90</f>
        <v>7428.148774302619</v>
      </c>
      <c r="F157" s="116">
        <f t="shared" si="67"/>
        <v>1609.4322344322343</v>
      </c>
      <c r="G157" s="116">
        <f t="shared" si="68"/>
        <v>1499.9999999999998</v>
      </c>
      <c r="H157" s="116">
        <f t="shared" si="69"/>
        <v>72</v>
      </c>
      <c r="I157" s="116">
        <f t="shared" si="72"/>
        <v>1978.021978021978</v>
      </c>
      <c r="J157" s="116">
        <f t="shared" si="73"/>
        <v>5087.454212454212</v>
      </c>
      <c r="K157" s="95">
        <f>$C112*1000000/I90</f>
        <v>114869.28104575157</v>
      </c>
      <c r="L157" s="95">
        <f>$K112*1000/G90</f>
        <v>16094.32234432234</v>
      </c>
      <c r="M157" s="91">
        <f t="shared" si="70"/>
        <v>5.018027571580063</v>
      </c>
    </row>
    <row r="158" spans="1:13" ht="12.75">
      <c r="A158" s="100" t="s">
        <v>88</v>
      </c>
      <c r="B158" s="102" t="s">
        <v>103</v>
      </c>
      <c r="C158" s="103">
        <f t="shared" si="71"/>
        <v>0.4</v>
      </c>
      <c r="D158" s="95">
        <f>$C113*1000000/H91</f>
        <v>46602.288984263236</v>
      </c>
      <c r="E158" s="95">
        <f>$K113*1000/F91</f>
        <v>9943.528693528695</v>
      </c>
      <c r="F158" s="116">
        <f t="shared" si="67"/>
        <v>1491.5293040293043</v>
      </c>
      <c r="G158" s="116">
        <f t="shared" si="68"/>
        <v>4500</v>
      </c>
      <c r="H158" s="116">
        <f t="shared" si="69"/>
        <v>36</v>
      </c>
      <c r="I158" s="116">
        <f t="shared" si="72"/>
        <v>989.010989010989</v>
      </c>
      <c r="J158" s="116">
        <f t="shared" si="73"/>
        <v>6980.540293040294</v>
      </c>
      <c r="K158" s="99">
        <f>$C113*1000000/I91</f>
        <v>525403.2258064509</v>
      </c>
      <c r="L158" s="99">
        <f>$K113*1000/G91</f>
        <v>44745.879120879115</v>
      </c>
      <c r="M158" s="91">
        <f t="shared" si="70"/>
        <v>4.686695278969957</v>
      </c>
    </row>
    <row r="159" spans="1:13" ht="12.75">
      <c r="A159" s="100" t="s">
        <v>93</v>
      </c>
      <c r="B159" s="102" t="s">
        <v>103</v>
      </c>
      <c r="C159" s="103">
        <f t="shared" si="71"/>
        <v>0</v>
      </c>
      <c r="D159" s="98" t="s">
        <v>11</v>
      </c>
      <c r="E159" s="98" t="s">
        <v>11</v>
      </c>
      <c r="F159" s="116">
        <f t="shared" si="67"/>
        <v>1256.9599443317582</v>
      </c>
      <c r="G159" s="117">
        <f t="shared" si="68"/>
        <v>11250</v>
      </c>
      <c r="H159" s="127">
        <f t="shared" si="69"/>
        <v>0</v>
      </c>
      <c r="I159" s="127">
        <f t="shared" si="72"/>
        <v>0</v>
      </c>
      <c r="J159" s="117">
        <f t="shared" si="73"/>
        <v>12506.959944331758</v>
      </c>
      <c r="K159" s="98" t="s">
        <v>11</v>
      </c>
      <c r="L159" s="98" t="s">
        <v>11</v>
      </c>
      <c r="M159" s="91"/>
    </row>
    <row r="161" s="1" customFormat="1" ht="12.75">
      <c r="A161" s="1" t="s">
        <v>115</v>
      </c>
    </row>
    <row r="162" s="1" customFormat="1" ht="12.75">
      <c r="A162" s="1" t="s">
        <v>108</v>
      </c>
    </row>
    <row r="163" s="1" customFormat="1" ht="12.75">
      <c r="A163" s="1" t="s">
        <v>114</v>
      </c>
    </row>
    <row r="164" s="1" customFormat="1" ht="12.75">
      <c r="A164" s="1" t="s">
        <v>127</v>
      </c>
    </row>
    <row r="165" spans="1:11" ht="12.75">
      <c r="A165" s="1" t="s">
        <v>94</v>
      </c>
      <c r="B165" s="4"/>
      <c r="C165" s="60"/>
      <c r="D165" s="60"/>
      <c r="E165" s="7"/>
      <c r="F165" s="67"/>
      <c r="G165" s="66"/>
      <c r="H165" s="31"/>
      <c r="I165" s="7"/>
      <c r="J165" s="71"/>
      <c r="K165" s="9"/>
    </row>
    <row r="166" ht="12.75">
      <c r="A166" s="1" t="s">
        <v>78</v>
      </c>
    </row>
    <row r="167" s="1" customFormat="1" ht="12.75">
      <c r="A167" s="1" t="s">
        <v>123</v>
      </c>
    </row>
  </sheetData>
  <mergeCells count="17">
    <mergeCell ref="F124:G124"/>
    <mergeCell ref="H124:M124"/>
    <mergeCell ref="D34:I34"/>
    <mergeCell ref="C97:I97"/>
    <mergeCell ref="C75:E75"/>
    <mergeCell ref="F75:G75"/>
    <mergeCell ref="H75:I75"/>
    <mergeCell ref="N124:O124"/>
    <mergeCell ref="H143:I143"/>
    <mergeCell ref="K75:M75"/>
    <mergeCell ref="C98:F98"/>
    <mergeCell ref="J97:O97"/>
    <mergeCell ref="F76:G76"/>
    <mergeCell ref="H76:I76"/>
    <mergeCell ref="A143:E143"/>
    <mergeCell ref="K143:L143"/>
    <mergeCell ref="B124:D124"/>
  </mergeCells>
  <printOptions/>
  <pageMargins left="0.5" right="0.25" top="0.25" bottom="0.25" header="0.5" footer="0.5"/>
  <pageSetup fitToHeight="2" horizontalDpi="600" verticalDpi="600" orientation="portrait" scale="58" r:id="rId1"/>
  <rowBreaks count="1" manualBreakCount="1"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2"/>
  <sheetViews>
    <sheetView tabSelected="1" zoomScale="75" zoomScaleNormal="75" workbookViewId="0" topLeftCell="I22">
      <selection activeCell="AE70" sqref="AE70"/>
    </sheetView>
  </sheetViews>
  <sheetFormatPr defaultColWidth="9.140625" defaultRowHeight="12.75"/>
  <cols>
    <col min="1" max="1" width="8.8515625" style="0" customWidth="1"/>
    <col min="2" max="2" width="8.28125" style="0" customWidth="1"/>
    <col min="3" max="5" width="8.421875" style="0" customWidth="1"/>
    <col min="6" max="7" width="8.8515625" style="0" customWidth="1"/>
    <col min="8" max="8" width="8.57421875" style="0" customWidth="1"/>
    <col min="9" max="9" width="9.8515625" style="0" customWidth="1"/>
    <col min="10" max="12" width="10.00390625" style="0" customWidth="1"/>
    <col min="13" max="13" width="6.57421875" style="0" customWidth="1"/>
    <col min="14" max="14" width="6.421875" style="0" customWidth="1"/>
    <col min="15" max="15" width="13.140625" style="0" customWidth="1"/>
    <col min="16" max="22" width="10.140625" style="0" customWidth="1"/>
    <col min="23" max="23" width="10.421875" style="0" customWidth="1"/>
    <col min="24" max="27" width="10.28125" style="0" customWidth="1"/>
    <col min="28" max="28" width="10.421875" style="0" customWidth="1"/>
    <col min="29" max="29" width="10.28125" style="0" customWidth="1"/>
    <col min="30" max="30" width="9.57421875" style="0" customWidth="1"/>
    <col min="31" max="31" width="11.28125" style="0" customWidth="1"/>
    <col min="32" max="32" width="10.57421875" style="0" customWidth="1"/>
    <col min="33" max="33" width="11.7109375" style="0" customWidth="1"/>
    <col min="34" max="34" width="12.7109375" style="0" customWidth="1"/>
    <col min="35" max="35" width="10.57421875" style="0" customWidth="1"/>
    <col min="36" max="36" width="13.57421875" style="0" customWidth="1"/>
    <col min="37" max="37" width="11.140625" style="0" customWidth="1"/>
    <col min="38" max="38" width="12.57421875" style="0" customWidth="1"/>
    <col min="39" max="40" width="10.8515625" style="0" customWidth="1"/>
    <col min="41" max="41" width="10.28125" style="0" customWidth="1"/>
    <col min="42" max="42" width="12.57421875" style="0" customWidth="1"/>
    <col min="43" max="44" width="11.28125" style="0" customWidth="1"/>
    <col min="45" max="45" width="10.7109375" style="0" customWidth="1"/>
    <col min="46" max="46" width="11.28125" style="0" customWidth="1"/>
    <col min="47" max="47" width="8.00390625" style="0" customWidth="1"/>
    <col min="48" max="48" width="8.8515625" style="0" customWidth="1"/>
    <col min="49" max="49" width="11.140625" style="0" customWidth="1"/>
    <col min="50" max="50" width="6.57421875" style="0" customWidth="1"/>
    <col min="51" max="51" width="5.57421875" style="0" customWidth="1"/>
    <col min="52" max="52" width="7.7109375" style="0" customWidth="1"/>
    <col min="53" max="53" width="8.8515625" style="0" customWidth="1"/>
    <col min="54" max="54" width="9.7109375" style="0" customWidth="1"/>
    <col min="55" max="55" width="10.00390625" style="0" customWidth="1"/>
    <col min="56" max="56" width="10.7109375" style="0" customWidth="1"/>
    <col min="57" max="57" width="11.00390625" style="0" customWidth="1"/>
    <col min="58" max="60" width="10.140625" style="0" customWidth="1"/>
  </cols>
  <sheetData>
    <row r="1" spans="1:65" s="209" customFormat="1" ht="18">
      <c r="A1" s="208" t="s">
        <v>324</v>
      </c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1"/>
      <c r="AX1" s="211"/>
      <c r="AY1" s="211"/>
      <c r="AZ1" s="211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</row>
    <row r="2" spans="1:65" s="215" customFormat="1" ht="15">
      <c r="A2" s="213"/>
      <c r="B2" s="214" t="s">
        <v>325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7"/>
      <c r="AX2" s="217"/>
      <c r="AY2" s="217"/>
      <c r="AZ2" s="217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</row>
    <row r="3" ht="12.75">
      <c r="B3" t="s">
        <v>329</v>
      </c>
    </row>
    <row r="5" spans="1:65" s="218" customFormat="1" ht="14.25">
      <c r="A5" s="167" t="s">
        <v>330</v>
      </c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20"/>
      <c r="AX5" s="220"/>
      <c r="AY5" s="220"/>
      <c r="AZ5" s="220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</row>
    <row r="6" spans="1:45" ht="12.75">
      <c r="A6" s="9">
        <v>18</v>
      </c>
      <c r="B6" t="s">
        <v>212</v>
      </c>
      <c r="N6" t="s">
        <v>204</v>
      </c>
      <c r="AP6" s="225" t="s">
        <v>316</v>
      </c>
      <c r="AQ6" s="225"/>
      <c r="AR6" s="225"/>
      <c r="AS6" s="1" t="s">
        <v>318</v>
      </c>
    </row>
    <row r="7" spans="1:46" ht="12.75">
      <c r="A7" s="176">
        <v>200000</v>
      </c>
      <c r="B7" t="s">
        <v>214</v>
      </c>
      <c r="AP7" s="2" t="s">
        <v>261</v>
      </c>
      <c r="AQ7" s="2" t="s">
        <v>317</v>
      </c>
      <c r="AR7" s="2" t="s">
        <v>245</v>
      </c>
      <c r="AS7" s="2" t="s">
        <v>319</v>
      </c>
      <c r="AT7" s="2" t="s">
        <v>320</v>
      </c>
    </row>
    <row r="8" spans="1:46" ht="12.75">
      <c r="A8" s="162">
        <f>A7/A6</f>
        <v>11111.111111111111</v>
      </c>
      <c r="B8" t="s">
        <v>213</v>
      </c>
      <c r="P8" s="228" t="s">
        <v>208</v>
      </c>
      <c r="Q8" s="228"/>
      <c r="R8" s="228"/>
      <c r="S8" s="4"/>
      <c r="T8" s="4"/>
      <c r="U8" s="4"/>
      <c r="V8" s="228" t="s">
        <v>207</v>
      </c>
      <c r="W8" s="228"/>
      <c r="X8" s="228"/>
      <c r="Y8" s="228"/>
      <c r="AP8">
        <v>15</v>
      </c>
      <c r="AQ8" s="91">
        <f>1000/AP8</f>
        <v>66.66666666666667</v>
      </c>
      <c r="AR8" s="91">
        <f aca="true" t="shared" si="0" ref="AR8:AR16">100*3.785/(1.6*AP8)</f>
        <v>15.770833333333334</v>
      </c>
      <c r="AS8" s="91">
        <f>1000/(AQ8-4)</f>
        <v>15.957446808510637</v>
      </c>
      <c r="AT8" s="91">
        <f aca="true" t="shared" si="1" ref="AT8:AT16">100*3.785/((AR8-1)*1.6)</f>
        <v>16.01551480959097</v>
      </c>
    </row>
    <row r="9" spans="1:46" ht="12.75">
      <c r="A9" s="9">
        <v>0.245</v>
      </c>
      <c r="B9" t="s">
        <v>266</v>
      </c>
      <c r="G9" s="118">
        <f>A9*A$18/(A$11*(1+$F$11))</f>
        <v>0.8761113825109917</v>
      </c>
      <c r="H9" t="s">
        <v>282</v>
      </c>
      <c r="N9" t="s">
        <v>201</v>
      </c>
      <c r="O9" t="s">
        <v>202</v>
      </c>
      <c r="P9" t="s">
        <v>205</v>
      </c>
      <c r="Q9" t="s">
        <v>206</v>
      </c>
      <c r="R9" t="s">
        <v>203</v>
      </c>
      <c r="V9" t="s">
        <v>205</v>
      </c>
      <c r="W9" t="s">
        <v>206</v>
      </c>
      <c r="X9" t="s">
        <v>203</v>
      </c>
      <c r="AP9">
        <v>20</v>
      </c>
      <c r="AQ9" s="91">
        <f aca="true" t="shared" si="2" ref="AQ9:AQ16">1000/AP9</f>
        <v>50</v>
      </c>
      <c r="AR9" s="91">
        <f t="shared" si="0"/>
        <v>11.828125</v>
      </c>
      <c r="AS9" s="91">
        <f aca="true" t="shared" si="3" ref="AS9:AS16">1000/(AQ9-4)</f>
        <v>21.73913043478261</v>
      </c>
      <c r="AT9" s="91">
        <f t="shared" si="1"/>
        <v>21.847041847041847</v>
      </c>
    </row>
    <row r="10" spans="1:46" ht="12.75">
      <c r="A10" s="9">
        <v>0.5</v>
      </c>
      <c r="B10" t="s">
        <v>200</v>
      </c>
      <c r="G10" s="118">
        <f>A10*A$18/(A$11*(1+$F$11))</f>
        <v>1.7879824132877382</v>
      </c>
      <c r="H10" t="s">
        <v>321</v>
      </c>
      <c r="N10">
        <v>2010</v>
      </c>
      <c r="O10">
        <v>0</v>
      </c>
      <c r="P10">
        <v>27.5</v>
      </c>
      <c r="Q10" s="91">
        <f>P10*0.75</f>
        <v>20.625</v>
      </c>
      <c r="R10" s="6">
        <f>$A$8/Q10</f>
        <v>538.7205387205387</v>
      </c>
      <c r="S10" s="6"/>
      <c r="T10" s="6"/>
      <c r="U10" s="6"/>
      <c r="V10">
        <v>23.5</v>
      </c>
      <c r="W10" s="91">
        <f>V10*0.75</f>
        <v>17.625</v>
      </c>
      <c r="X10" s="6">
        <f>$A$8/W10</f>
        <v>630.4176516942474</v>
      </c>
      <c r="AP10">
        <v>25</v>
      </c>
      <c r="AQ10" s="91">
        <f t="shared" si="2"/>
        <v>40</v>
      </c>
      <c r="AR10" s="91">
        <f t="shared" si="0"/>
        <v>9.4625</v>
      </c>
      <c r="AS10" s="91">
        <f t="shared" si="3"/>
        <v>27.77777777777778</v>
      </c>
      <c r="AT10" s="91">
        <f t="shared" si="1"/>
        <v>27.95420974889217</v>
      </c>
    </row>
    <row r="11" spans="1:46" ht="12.75">
      <c r="A11" s="9">
        <v>8.9</v>
      </c>
      <c r="B11" t="s">
        <v>180</v>
      </c>
      <c r="F11" s="177">
        <v>0.15</v>
      </c>
      <c r="G11" t="s">
        <v>323</v>
      </c>
      <c r="N11">
        <v>2005</v>
      </c>
      <c r="O11">
        <v>5</v>
      </c>
      <c r="P11">
        <v>27.5</v>
      </c>
      <c r="Q11" s="91">
        <f>P11*0.75</f>
        <v>20.625</v>
      </c>
      <c r="R11" s="6">
        <f>$A$8/Q11</f>
        <v>538.7205387205387</v>
      </c>
      <c r="S11" s="6"/>
      <c r="T11" s="6"/>
      <c r="U11" s="6"/>
      <c r="V11" s="91">
        <v>21</v>
      </c>
      <c r="W11" s="91">
        <f>V11*0.75</f>
        <v>15.75</v>
      </c>
      <c r="X11" s="6">
        <f>$A$8/W11</f>
        <v>705.4673721340388</v>
      </c>
      <c r="AP11">
        <v>30</v>
      </c>
      <c r="AQ11" s="91">
        <f t="shared" si="2"/>
        <v>33.333333333333336</v>
      </c>
      <c r="AR11" s="91">
        <f t="shared" si="0"/>
        <v>7.885416666666667</v>
      </c>
      <c r="AS11" s="91">
        <f t="shared" si="3"/>
        <v>34.090909090909086</v>
      </c>
      <c r="AT11" s="91">
        <f t="shared" si="1"/>
        <v>34.357034795763994</v>
      </c>
    </row>
    <row r="12" spans="1:46" ht="12.75">
      <c r="A12" s="9">
        <v>1000</v>
      </c>
      <c r="B12" t="s">
        <v>215</v>
      </c>
      <c r="N12">
        <v>2000</v>
      </c>
      <c r="O12">
        <v>10</v>
      </c>
      <c r="P12">
        <v>27.5</v>
      </c>
      <c r="Q12" s="91">
        <f>P12*0.75</f>
        <v>20.625</v>
      </c>
      <c r="R12" s="6">
        <f>$A$8/Q12</f>
        <v>538.7205387205387</v>
      </c>
      <c r="S12" s="6"/>
      <c r="T12" s="6"/>
      <c r="U12" s="6"/>
      <c r="V12">
        <v>20.7</v>
      </c>
      <c r="W12" s="91">
        <f>V12*0.75</f>
        <v>15.524999999999999</v>
      </c>
      <c r="X12" s="6">
        <f>$A$8/W12</f>
        <v>715.6915369475756</v>
      </c>
      <c r="AP12">
        <v>40</v>
      </c>
      <c r="AQ12" s="91">
        <f t="shared" si="2"/>
        <v>25</v>
      </c>
      <c r="AR12" s="91">
        <f t="shared" si="0"/>
        <v>5.9140625</v>
      </c>
      <c r="AS12" s="91">
        <f t="shared" si="3"/>
        <v>47.61904761904762</v>
      </c>
      <c r="AT12" s="91">
        <f t="shared" si="1"/>
        <v>48.13990461049284</v>
      </c>
    </row>
    <row r="13" spans="1:46" ht="12.75">
      <c r="A13" s="38">
        <f>A12/A11</f>
        <v>112.35955056179775</v>
      </c>
      <c r="B13" t="s">
        <v>259</v>
      </c>
      <c r="N13">
        <v>1995</v>
      </c>
      <c r="O13">
        <v>15</v>
      </c>
      <c r="P13">
        <v>27.5</v>
      </c>
      <c r="Q13" s="91">
        <f>P13*0.75</f>
        <v>20.625</v>
      </c>
      <c r="R13" s="6">
        <f>$A$8/Q13</f>
        <v>538.7205387205387</v>
      </c>
      <c r="S13" s="6"/>
      <c r="T13" s="6"/>
      <c r="U13" s="6"/>
      <c r="V13">
        <v>20.6</v>
      </c>
      <c r="W13" s="91">
        <f>V13*0.75</f>
        <v>15.450000000000001</v>
      </c>
      <c r="X13" s="6">
        <f>$A$8/W13</f>
        <v>719.165767709457</v>
      </c>
      <c r="AP13">
        <v>50</v>
      </c>
      <c r="AQ13" s="91">
        <f t="shared" si="2"/>
        <v>20</v>
      </c>
      <c r="AR13" s="91">
        <f t="shared" si="0"/>
        <v>4.73125</v>
      </c>
      <c r="AS13" s="91">
        <f t="shared" si="3"/>
        <v>62.5</v>
      </c>
      <c r="AT13" s="91">
        <f t="shared" si="1"/>
        <v>63.4003350083752</v>
      </c>
    </row>
    <row r="14" spans="1:46" ht="12.75">
      <c r="A14" s="177">
        <v>0.85</v>
      </c>
      <c r="B14" t="s">
        <v>209</v>
      </c>
      <c r="N14">
        <v>1990</v>
      </c>
      <c r="O14">
        <v>20</v>
      </c>
      <c r="P14">
        <v>27.5</v>
      </c>
      <c r="Q14" s="91">
        <f>P14*0.75</f>
        <v>20.625</v>
      </c>
      <c r="R14" s="6">
        <f>$A$8/Q14</f>
        <v>538.7205387205387</v>
      </c>
      <c r="S14" s="6"/>
      <c r="T14" s="6"/>
      <c r="U14" s="6"/>
      <c r="V14">
        <v>20</v>
      </c>
      <c r="W14" s="91">
        <f>V14*0.75</f>
        <v>15</v>
      </c>
      <c r="X14" s="6">
        <f>$A$8/W14</f>
        <v>740.7407407407408</v>
      </c>
      <c r="AP14">
        <v>75</v>
      </c>
      <c r="AQ14" s="91">
        <f t="shared" si="2"/>
        <v>13.333333333333334</v>
      </c>
      <c r="AR14" s="91">
        <f t="shared" si="0"/>
        <v>3.154166666666667</v>
      </c>
      <c r="AS14" s="91">
        <f t="shared" si="3"/>
        <v>107.14285714285714</v>
      </c>
      <c r="AT14" s="91">
        <f t="shared" si="1"/>
        <v>109.81624758220501</v>
      </c>
    </row>
    <row r="15" spans="1:46" ht="12.75">
      <c r="A15" s="177">
        <v>0.75</v>
      </c>
      <c r="B15" t="s">
        <v>210</v>
      </c>
      <c r="AP15">
        <v>100</v>
      </c>
      <c r="AQ15" s="91">
        <f t="shared" si="2"/>
        <v>10</v>
      </c>
      <c r="AR15" s="91">
        <f t="shared" si="0"/>
        <v>2.365625</v>
      </c>
      <c r="AS15" s="91">
        <f t="shared" si="3"/>
        <v>166.66666666666666</v>
      </c>
      <c r="AT15" s="91">
        <f t="shared" si="1"/>
        <v>173.22654462242562</v>
      </c>
    </row>
    <row r="16" spans="1:46" ht="12.75">
      <c r="A16" s="177">
        <v>0.75</v>
      </c>
      <c r="B16" t="s">
        <v>211</v>
      </c>
      <c r="AP16">
        <v>150</v>
      </c>
      <c r="AQ16" s="91">
        <f t="shared" si="2"/>
        <v>6.666666666666667</v>
      </c>
      <c r="AR16" s="91">
        <f t="shared" si="0"/>
        <v>1.5770833333333334</v>
      </c>
      <c r="AS16" s="91">
        <f t="shared" si="3"/>
        <v>374.99999999999994</v>
      </c>
      <c r="AT16" s="91">
        <f t="shared" si="1"/>
        <v>409.92779783393496</v>
      </c>
    </row>
    <row r="17" spans="1:44" ht="12.75">
      <c r="A17" s="181">
        <v>0.0342</v>
      </c>
      <c r="B17" t="s">
        <v>231</v>
      </c>
      <c r="AQ17" s="40">
        <v>1</v>
      </c>
      <c r="AR17" s="204">
        <f>AQ17*0.3785/1.6</f>
        <v>0.23656249999999998</v>
      </c>
    </row>
    <row r="18" spans="1:44" ht="12.75">
      <c r="A18" s="9">
        <v>36.6</v>
      </c>
      <c r="B18" t="s">
        <v>279</v>
      </c>
      <c r="AQ18" s="205">
        <f>AR18*1.6/0.3785</f>
        <v>4.227212681638045</v>
      </c>
      <c r="AR18" s="40">
        <v>1</v>
      </c>
    </row>
    <row r="19" spans="1:2" ht="12.75">
      <c r="A19" s="39">
        <f>Main!$G$38</f>
        <v>0.27472527472527475</v>
      </c>
      <c r="B19" t="s">
        <v>289</v>
      </c>
    </row>
    <row r="20" spans="1:2" ht="12.75">
      <c r="A20" s="38">
        <f>Main!$E$25</f>
        <v>43.63636363636363</v>
      </c>
      <c r="B20" t="s">
        <v>290</v>
      </c>
    </row>
    <row r="22" spans="1:54" ht="12.75">
      <c r="A22" s="233" t="s">
        <v>178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29" t="s">
        <v>229</v>
      </c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31" t="s">
        <v>244</v>
      </c>
      <c r="AB22" s="231"/>
      <c r="AC22" s="231"/>
      <c r="AD22" s="231"/>
      <c r="AE22" s="231"/>
      <c r="AF22" s="231"/>
      <c r="AG22" s="232" t="s">
        <v>232</v>
      </c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02"/>
      <c r="AY22" s="202"/>
      <c r="AZ22" s="202"/>
      <c r="BA22" s="202"/>
      <c r="BB22" s="202"/>
    </row>
    <row r="23" spans="1:49" s="179" customFormat="1" ht="51" customHeight="1">
      <c r="A23" s="178" t="s">
        <v>175</v>
      </c>
      <c r="B23" s="178" t="s">
        <v>174</v>
      </c>
      <c r="C23" s="178" t="s">
        <v>270</v>
      </c>
      <c r="D23" s="179" t="s">
        <v>220</v>
      </c>
      <c r="E23" s="179" t="s">
        <v>221</v>
      </c>
      <c r="F23" s="179" t="s">
        <v>221</v>
      </c>
      <c r="G23" s="179" t="s">
        <v>221</v>
      </c>
      <c r="H23" s="178" t="s">
        <v>222</v>
      </c>
      <c r="I23" s="179" t="s">
        <v>223</v>
      </c>
      <c r="J23" s="179" t="s">
        <v>224</v>
      </c>
      <c r="K23" s="179" t="s">
        <v>225</v>
      </c>
      <c r="L23" s="179" t="s">
        <v>332</v>
      </c>
      <c r="M23" s="230" t="s">
        <v>237</v>
      </c>
      <c r="N23" s="230"/>
      <c r="O23" s="178" t="s">
        <v>175</v>
      </c>
      <c r="P23" s="178" t="s">
        <v>270</v>
      </c>
      <c r="Q23" s="179" t="s">
        <v>220</v>
      </c>
      <c r="R23" s="179" t="s">
        <v>221</v>
      </c>
      <c r="S23" s="179" t="s">
        <v>221</v>
      </c>
      <c r="T23" s="179" t="s">
        <v>221</v>
      </c>
      <c r="U23" s="179" t="s">
        <v>315</v>
      </c>
      <c r="V23" s="178" t="s">
        <v>222</v>
      </c>
      <c r="W23" s="179" t="s">
        <v>223</v>
      </c>
      <c r="X23" s="179" t="s">
        <v>224</v>
      </c>
      <c r="Y23" s="179" t="s">
        <v>225</v>
      </c>
      <c r="Z23" s="194" t="s">
        <v>332</v>
      </c>
      <c r="AA23" s="178" t="s">
        <v>175</v>
      </c>
      <c r="AB23" s="179" t="s">
        <v>230</v>
      </c>
      <c r="AC23" s="179" t="s">
        <v>252</v>
      </c>
      <c r="AD23" s="179" t="s">
        <v>221</v>
      </c>
      <c r="AE23" s="179" t="s">
        <v>287</v>
      </c>
      <c r="AF23" s="179" t="s">
        <v>233</v>
      </c>
      <c r="AG23" s="230" t="s">
        <v>228</v>
      </c>
      <c r="AH23" s="230"/>
      <c r="AI23" s="230" t="s">
        <v>234</v>
      </c>
      <c r="AJ23" s="230"/>
      <c r="AK23" s="179" t="s">
        <v>302</v>
      </c>
      <c r="AL23" s="194" t="s">
        <v>311</v>
      </c>
      <c r="AM23" s="230" t="s">
        <v>236</v>
      </c>
      <c r="AN23" s="230"/>
      <c r="AO23" s="230" t="s">
        <v>258</v>
      </c>
      <c r="AP23" s="230"/>
      <c r="AQ23" s="179" t="s">
        <v>227</v>
      </c>
      <c r="AR23" s="179" t="s">
        <v>307</v>
      </c>
      <c r="AS23" s="179" t="s">
        <v>322</v>
      </c>
      <c r="AT23" s="179" t="s">
        <v>260</v>
      </c>
      <c r="AU23" s="234" t="s">
        <v>303</v>
      </c>
      <c r="AV23" s="234"/>
      <c r="AW23" s="194" t="s">
        <v>314</v>
      </c>
    </row>
    <row r="24" spans="1:49" s="161" customFormat="1" ht="13.5" thickBot="1">
      <c r="A24" s="168"/>
      <c r="B24" s="168" t="s">
        <v>216</v>
      </c>
      <c r="C24" s="168" t="s">
        <v>217</v>
      </c>
      <c r="D24" s="161" t="s">
        <v>217</v>
      </c>
      <c r="E24" s="161" t="s">
        <v>217</v>
      </c>
      <c r="F24" s="161" t="s">
        <v>317</v>
      </c>
      <c r="G24" s="161" t="s">
        <v>245</v>
      </c>
      <c r="H24" s="168" t="s">
        <v>2</v>
      </c>
      <c r="I24" s="161" t="s">
        <v>218</v>
      </c>
      <c r="J24" s="161" t="s">
        <v>30</v>
      </c>
      <c r="K24" s="161" t="s">
        <v>30</v>
      </c>
      <c r="L24" s="161" t="s">
        <v>219</v>
      </c>
      <c r="M24" s="161" t="s">
        <v>29</v>
      </c>
      <c r="N24" s="161" t="s">
        <v>219</v>
      </c>
      <c r="O24" s="168"/>
      <c r="P24" s="168" t="s">
        <v>217</v>
      </c>
      <c r="Q24" s="161" t="s">
        <v>217</v>
      </c>
      <c r="R24" s="161" t="s">
        <v>217</v>
      </c>
      <c r="S24" s="161" t="s">
        <v>317</v>
      </c>
      <c r="T24" s="161" t="s">
        <v>245</v>
      </c>
      <c r="U24" s="161" t="s">
        <v>219</v>
      </c>
      <c r="V24" s="168" t="s">
        <v>2</v>
      </c>
      <c r="W24" s="161" t="s">
        <v>218</v>
      </c>
      <c r="X24" s="161" t="s">
        <v>30</v>
      </c>
      <c r="Y24" s="161" t="s">
        <v>30</v>
      </c>
      <c r="Z24" s="195" t="s">
        <v>219</v>
      </c>
      <c r="AA24" s="168"/>
      <c r="AD24" s="161" t="s">
        <v>217</v>
      </c>
      <c r="AE24" s="161" t="s">
        <v>30</v>
      </c>
      <c r="AF24" s="161" t="s">
        <v>29</v>
      </c>
      <c r="AG24" s="161" t="s">
        <v>235</v>
      </c>
      <c r="AH24" s="161" t="s">
        <v>30</v>
      </c>
      <c r="AI24" s="161" t="s">
        <v>235</v>
      </c>
      <c r="AJ24" s="161" t="s">
        <v>30</v>
      </c>
      <c r="AK24" s="161" t="s">
        <v>218</v>
      </c>
      <c r="AL24" s="195" t="s">
        <v>219</v>
      </c>
      <c r="AM24" s="161" t="s">
        <v>218</v>
      </c>
      <c r="AN24" s="193" t="s">
        <v>264</v>
      </c>
      <c r="AO24" s="191">
        <v>3</v>
      </c>
      <c r="AP24" s="192" t="s">
        <v>257</v>
      </c>
      <c r="AQ24" s="161" t="s">
        <v>31</v>
      </c>
      <c r="AR24" s="189">
        <v>30</v>
      </c>
      <c r="AS24" s="183" t="s">
        <v>317</v>
      </c>
      <c r="AT24" s="161" t="s">
        <v>218</v>
      </c>
      <c r="AU24" s="195" t="s">
        <v>226</v>
      </c>
      <c r="AV24" s="195" t="s">
        <v>82</v>
      </c>
      <c r="AW24" s="195" t="s">
        <v>219</v>
      </c>
    </row>
    <row r="25" spans="1:54" ht="12.75">
      <c r="A25" s="184" t="s">
        <v>176</v>
      </c>
      <c r="B25" s="121">
        <v>4</v>
      </c>
      <c r="C25" s="121">
        <v>17</v>
      </c>
      <c r="D25" s="42">
        <f>C25/$A$14</f>
        <v>20</v>
      </c>
      <c r="E25" s="42">
        <f>D25*$A$16</f>
        <v>15</v>
      </c>
      <c r="F25" s="91">
        <f>1000/E25</f>
        <v>66.66666666666667</v>
      </c>
      <c r="G25" s="91">
        <f aca="true" t="shared" si="4" ref="G25:G59">100*3.785/1.6/E25</f>
        <v>15.770833333333334</v>
      </c>
      <c r="H25" s="170">
        <v>5000</v>
      </c>
      <c r="I25" s="92">
        <f>H25*$A$19</f>
        <v>1373.6263736263738</v>
      </c>
      <c r="J25" s="162">
        <f>$A$8/E25</f>
        <v>740.7407407407408</v>
      </c>
      <c r="K25" s="162">
        <f>$A$7/E25</f>
        <v>13333.333333333334</v>
      </c>
      <c r="L25" s="118">
        <f>I25/K25</f>
        <v>0.10302197802197803</v>
      </c>
      <c r="M25" s="162">
        <f>$A$6-B25</f>
        <v>14</v>
      </c>
      <c r="N25" s="118">
        <f>($A$6-B25)/$A$6</f>
        <v>0.7777777777777778</v>
      </c>
      <c r="O25" s="184" t="s">
        <v>176</v>
      </c>
      <c r="P25" s="121">
        <v>25</v>
      </c>
      <c r="Q25" s="42">
        <f>P25/$A$15</f>
        <v>33.333333333333336</v>
      </c>
      <c r="R25" s="42">
        <f>Q25*$A$16</f>
        <v>25</v>
      </c>
      <c r="S25" s="91">
        <f>1000/R25</f>
        <v>40</v>
      </c>
      <c r="T25" s="91">
        <f aca="true" t="shared" si="5" ref="T25:T35">100*3.785/1.6/R25</f>
        <v>9.4625</v>
      </c>
      <c r="U25" s="51">
        <f>T25/G25</f>
        <v>0.6</v>
      </c>
      <c r="V25" s="170">
        <v>5000</v>
      </c>
      <c r="W25" s="92">
        <f>V25*$A$19</f>
        <v>1373.6263736263738</v>
      </c>
      <c r="X25" s="162">
        <f>$A$8/R25</f>
        <v>444.44444444444446</v>
      </c>
      <c r="Y25" s="162">
        <f>$A$7/R25</f>
        <v>8000</v>
      </c>
      <c r="Z25" s="196">
        <f>W25/Y25</f>
        <v>0.17170329670329673</v>
      </c>
      <c r="AA25" s="169" t="s">
        <v>176</v>
      </c>
      <c r="AB25" s="180">
        <f>2010+B25</f>
        <v>2014</v>
      </c>
      <c r="AC25" s="42">
        <f>Q25*POWER(1+$A$17,B25)</f>
        <v>38.13264049365767</v>
      </c>
      <c r="AD25" s="42">
        <f>AC25*$A$16</f>
        <v>28.59948037024325</v>
      </c>
      <c r="AE25" s="162">
        <f>$A$8/AD25</f>
        <v>388.5074472427069</v>
      </c>
      <c r="AF25" s="6">
        <f>M25</f>
        <v>14</v>
      </c>
      <c r="AG25" s="162">
        <f>J25-X25</f>
        <v>296.2962962962963</v>
      </c>
      <c r="AH25" s="162">
        <f>AG25*M25</f>
        <v>4148.148148148148</v>
      </c>
      <c r="AI25" s="182">
        <f>AE25-X25</f>
        <v>-55.93699720173754</v>
      </c>
      <c r="AJ25" s="182">
        <f>AI25*AF25</f>
        <v>-783.1179608243256</v>
      </c>
      <c r="AK25" s="162">
        <f>I25*N25</f>
        <v>1068.3760683760686</v>
      </c>
      <c r="AL25" s="196">
        <f>AK25/(AH25+AJ25)</f>
        <v>0.3174937545584809</v>
      </c>
      <c r="AM25" s="186">
        <f>AH25+AJ25-AK25</f>
        <v>2296.654118947754</v>
      </c>
      <c r="AN25" s="186">
        <f>AM25/M25</f>
        <v>164.04672278198242</v>
      </c>
      <c r="AO25" s="188">
        <f>AQ25*$A$13*$AO$24</f>
        <v>6889.962356843262</v>
      </c>
      <c r="AP25" s="188">
        <f>AO25/M25</f>
        <v>492.14016834594725</v>
      </c>
      <c r="AQ25" s="187">
        <f>AM25*$A$11/$A$12</f>
        <v>20.44022165863501</v>
      </c>
      <c r="AR25" s="188">
        <f>AQ25*$AR$24</f>
        <v>613.2066497590504</v>
      </c>
      <c r="AS25" s="187">
        <f>(1/C25-1/P25)*1000</f>
        <v>18.823529411764703</v>
      </c>
      <c r="AT25" s="187">
        <f>AM25/(M25*AS25)</f>
        <v>8.714982147792817</v>
      </c>
      <c r="AU25" s="206">
        <f>W25/(J25-X25)</f>
        <v>4.635989010989012</v>
      </c>
      <c r="AV25" s="207">
        <f>AU25*$A$8</f>
        <v>51510.98901098902</v>
      </c>
      <c r="AW25" s="196">
        <f>AU25/M25</f>
        <v>0.33114207221350084</v>
      </c>
      <c r="AX25" s="118"/>
      <c r="AY25" s="118"/>
      <c r="AZ25" s="118"/>
      <c r="BA25" s="118"/>
      <c r="BB25" s="118"/>
    </row>
    <row r="26" spans="1:54" ht="12.75">
      <c r="A26" s="184" t="s">
        <v>176</v>
      </c>
      <c r="B26" s="121">
        <v>8</v>
      </c>
      <c r="C26" s="121">
        <v>17</v>
      </c>
      <c r="D26" s="42">
        <f>C26/$A$14</f>
        <v>20</v>
      </c>
      <c r="E26" s="42">
        <f>D26*$A$16</f>
        <v>15</v>
      </c>
      <c r="F26" s="91">
        <f aca="true" t="shared" si="6" ref="F26:F59">1000/E26</f>
        <v>66.66666666666667</v>
      </c>
      <c r="G26" s="91">
        <f t="shared" si="4"/>
        <v>15.770833333333334</v>
      </c>
      <c r="H26" s="170">
        <v>5000</v>
      </c>
      <c r="I26" s="92">
        <f>H26*$A$19</f>
        <v>1373.6263736263738</v>
      </c>
      <c r="J26" s="162">
        <f>$A$8/E26</f>
        <v>740.7407407407408</v>
      </c>
      <c r="K26" s="162">
        <f>$A$7/E26</f>
        <v>13333.333333333334</v>
      </c>
      <c r="L26" s="118">
        <f aca="true" t="shared" si="7" ref="L26:L59">I26/K26</f>
        <v>0.10302197802197803</v>
      </c>
      <c r="M26" s="162">
        <f>$A$6-B26</f>
        <v>10</v>
      </c>
      <c r="N26" s="118">
        <f>($A$6-B26)/$A$6</f>
        <v>0.5555555555555556</v>
      </c>
      <c r="O26" s="184" t="s">
        <v>176</v>
      </c>
      <c r="P26" s="121">
        <v>25</v>
      </c>
      <c r="Q26" s="42">
        <f>P26/$A$15</f>
        <v>33.333333333333336</v>
      </c>
      <c r="R26" s="42">
        <f>Q26*$A$16</f>
        <v>25</v>
      </c>
      <c r="S26" s="91">
        <f aca="true" t="shared" si="8" ref="S26:S59">1000/R26</f>
        <v>40</v>
      </c>
      <c r="T26" s="91">
        <f t="shared" si="5"/>
        <v>9.4625</v>
      </c>
      <c r="U26" s="51">
        <f aca="true" t="shared" si="9" ref="U26:U59">T26/G26</f>
        <v>0.6</v>
      </c>
      <c r="V26" s="170">
        <v>5000</v>
      </c>
      <c r="W26" s="92">
        <f>V26*$A$19</f>
        <v>1373.6263736263738</v>
      </c>
      <c r="X26" s="162">
        <f>$A$8/R26</f>
        <v>444.44444444444446</v>
      </c>
      <c r="Y26" s="162">
        <f>$A$7/R26</f>
        <v>8000</v>
      </c>
      <c r="Z26" s="196">
        <f aca="true" t="shared" si="10" ref="Z26:Z59">W26/Y26</f>
        <v>0.17170329670329673</v>
      </c>
      <c r="AA26" s="169" t="s">
        <v>176</v>
      </c>
      <c r="AB26" s="180">
        <f>2010+B26</f>
        <v>2018</v>
      </c>
      <c r="AC26" s="42">
        <f>Q26*POWER(1+$A$17,B26)</f>
        <v>43.62294813055621</v>
      </c>
      <c r="AD26" s="42">
        <f>AC26*$A$16</f>
        <v>32.71721109791716</v>
      </c>
      <c r="AE26" s="162">
        <f>$A$8/AD26</f>
        <v>339.61058226685054</v>
      </c>
      <c r="AF26" s="6">
        <f>M26</f>
        <v>10</v>
      </c>
      <c r="AG26" s="162">
        <f>J26-X26</f>
        <v>296.2962962962963</v>
      </c>
      <c r="AH26" s="162">
        <f>AG26*M26</f>
        <v>2962.962962962963</v>
      </c>
      <c r="AI26" s="182">
        <f>AE26-X26</f>
        <v>-104.83386217759391</v>
      </c>
      <c r="AJ26" s="182">
        <f>AI26*AF26</f>
        <v>-1048.3386217759391</v>
      </c>
      <c r="AK26" s="162">
        <f>I26*N26</f>
        <v>763.1257631257632</v>
      </c>
      <c r="AL26" s="196">
        <f>AK26/(AH26+AJ26)</f>
        <v>0.3985772805189777</v>
      </c>
      <c r="AM26" s="186">
        <f>AH26+AJ26-AK26</f>
        <v>1151.4985780612606</v>
      </c>
      <c r="AN26" s="186">
        <f>AM26/M26</f>
        <v>115.14985780612605</v>
      </c>
      <c r="AO26" s="188">
        <f>AQ26*$A$13*$AO$24</f>
        <v>3454.4957341837817</v>
      </c>
      <c r="AP26" s="188">
        <f>AO26/M26</f>
        <v>345.4495734183782</v>
      </c>
      <c r="AQ26" s="187">
        <f>AM26*$A$11/$A$12</f>
        <v>10.24833734474522</v>
      </c>
      <c r="AR26" s="188">
        <f>AQ26*$AR$24</f>
        <v>307.4501203423566</v>
      </c>
      <c r="AS26" s="187">
        <f aca="true" t="shared" si="11" ref="AS26:AS59">(1/C26-1/P26)*1000</f>
        <v>18.823529411764703</v>
      </c>
      <c r="AT26" s="187">
        <f>AM26/(M26*AS26)</f>
        <v>6.117336195950448</v>
      </c>
      <c r="AU26" s="206">
        <f>W26/(J26-X26)</f>
        <v>4.635989010989012</v>
      </c>
      <c r="AV26" s="207">
        <f>AU26*$A$8</f>
        <v>51510.98901098902</v>
      </c>
      <c r="AW26" s="196">
        <f>AU26/M26</f>
        <v>0.4635989010989012</v>
      </c>
      <c r="AX26" s="118"/>
      <c r="AY26" s="118"/>
      <c r="AZ26" s="118"/>
      <c r="BA26" s="118"/>
      <c r="BB26" s="118"/>
    </row>
    <row r="27" spans="1:54" ht="12.75">
      <c r="A27" s="184" t="s">
        <v>176</v>
      </c>
      <c r="B27" s="121">
        <v>12</v>
      </c>
      <c r="C27" s="121">
        <v>17</v>
      </c>
      <c r="D27" s="42">
        <f>C27/$A$14</f>
        <v>20</v>
      </c>
      <c r="E27" s="42">
        <f>D27*$A$16</f>
        <v>15</v>
      </c>
      <c r="F27" s="91">
        <f t="shared" si="6"/>
        <v>66.66666666666667</v>
      </c>
      <c r="G27" s="91">
        <f t="shared" si="4"/>
        <v>15.770833333333334</v>
      </c>
      <c r="H27" s="170">
        <v>5000</v>
      </c>
      <c r="I27" s="92">
        <f>H27*$A$19</f>
        <v>1373.6263736263738</v>
      </c>
      <c r="J27" s="162">
        <f>$A$8/E27</f>
        <v>740.7407407407408</v>
      </c>
      <c r="K27" s="162">
        <f>$A$7/E27</f>
        <v>13333.333333333334</v>
      </c>
      <c r="L27" s="118">
        <f t="shared" si="7"/>
        <v>0.10302197802197803</v>
      </c>
      <c r="M27" s="162">
        <f>$A$6-B27</f>
        <v>6</v>
      </c>
      <c r="N27" s="118">
        <f>($A$6-B27)/$A$6</f>
        <v>0.3333333333333333</v>
      </c>
      <c r="O27" s="184" t="s">
        <v>176</v>
      </c>
      <c r="P27" s="121">
        <v>25</v>
      </c>
      <c r="Q27" s="42">
        <f>P27/$A$15</f>
        <v>33.333333333333336</v>
      </c>
      <c r="R27" s="42">
        <f>Q27*$A$16</f>
        <v>25</v>
      </c>
      <c r="S27" s="91">
        <f t="shared" si="8"/>
        <v>40</v>
      </c>
      <c r="T27" s="91">
        <f t="shared" si="5"/>
        <v>9.4625</v>
      </c>
      <c r="U27" s="51">
        <f t="shared" si="9"/>
        <v>0.6</v>
      </c>
      <c r="V27" s="170">
        <v>5000</v>
      </c>
      <c r="W27" s="92">
        <f>V27*$A$19</f>
        <v>1373.6263736263738</v>
      </c>
      <c r="X27" s="162">
        <f>$A$8/R27</f>
        <v>444.44444444444446</v>
      </c>
      <c r="Y27" s="162">
        <f>$A$7/R27</f>
        <v>8000</v>
      </c>
      <c r="Z27" s="196">
        <f t="shared" si="10"/>
        <v>0.17170329670329673</v>
      </c>
      <c r="AA27" s="169" t="s">
        <v>176</v>
      </c>
      <c r="AB27" s="180">
        <f>2010+B27</f>
        <v>2022</v>
      </c>
      <c r="AC27" s="42">
        <f>Q27*POWER(1+$A$17,B27)</f>
        <v>49.90374595007927</v>
      </c>
      <c r="AD27" s="42">
        <f>AC27*$A$16</f>
        <v>37.42780946255945</v>
      </c>
      <c r="AE27" s="162">
        <f>$A$8/AD27</f>
        <v>296.8677908394827</v>
      </c>
      <c r="AF27" s="6">
        <f>M27</f>
        <v>6</v>
      </c>
      <c r="AG27" s="162">
        <f>J27-X27</f>
        <v>296.2962962962963</v>
      </c>
      <c r="AH27" s="162">
        <f>AG27*M27</f>
        <v>1777.7777777777778</v>
      </c>
      <c r="AI27" s="182">
        <f>AE27-X27</f>
        <v>-147.57665360496173</v>
      </c>
      <c r="AJ27" s="182">
        <f>AI27*AF27</f>
        <v>-885.4599216297704</v>
      </c>
      <c r="AK27" s="162">
        <f>I27*N27</f>
        <v>457.8754578754579</v>
      </c>
      <c r="AL27" s="196">
        <f>AK27/(AH27+AJ27)</f>
        <v>0.5131304441805441</v>
      </c>
      <c r="AM27" s="186">
        <f>AH27+AJ27-AK27</f>
        <v>434.4423982725495</v>
      </c>
      <c r="AN27" s="186">
        <f>AM27/M27</f>
        <v>72.40706637875824</v>
      </c>
      <c r="AO27" s="188">
        <f>AQ27*$A$13*$AO$24</f>
        <v>1303.3271948176484</v>
      </c>
      <c r="AP27" s="188">
        <f>AO27/M27</f>
        <v>217.22119913627475</v>
      </c>
      <c r="AQ27" s="187">
        <f>AM27*$A$11/$A$12</f>
        <v>3.8665373446256908</v>
      </c>
      <c r="AR27" s="188">
        <f>AQ27*$AR$24</f>
        <v>115.99612033877072</v>
      </c>
      <c r="AS27" s="187">
        <f t="shared" si="11"/>
        <v>18.823529411764703</v>
      </c>
      <c r="AT27" s="187">
        <f>AM27/(M27*AS27)</f>
        <v>3.8466254013715324</v>
      </c>
      <c r="AU27" s="206">
        <f>W27/(J27-X27)</f>
        <v>4.635989010989012</v>
      </c>
      <c r="AV27" s="207">
        <f>AU27*$A$8</f>
        <v>51510.98901098902</v>
      </c>
      <c r="AW27" s="196">
        <f>AU27/M27</f>
        <v>0.7726648351648353</v>
      </c>
      <c r="AX27" s="118"/>
      <c r="AY27" s="118"/>
      <c r="AZ27" s="118"/>
      <c r="BA27" s="118"/>
      <c r="BB27" s="118"/>
    </row>
    <row r="28" spans="1:49" ht="12.75">
      <c r="A28" s="121"/>
      <c r="B28" s="121"/>
      <c r="C28" s="121"/>
      <c r="D28" s="43"/>
      <c r="E28" s="43"/>
      <c r="F28" s="91"/>
      <c r="G28" s="91"/>
      <c r="H28" s="170"/>
      <c r="L28" s="118"/>
      <c r="O28" s="121"/>
      <c r="P28" s="121"/>
      <c r="Q28" s="43"/>
      <c r="R28" s="43"/>
      <c r="S28" s="91"/>
      <c r="T28" s="43"/>
      <c r="U28" s="51"/>
      <c r="V28" s="170"/>
      <c r="Z28" s="196"/>
      <c r="AA28" s="170"/>
      <c r="AD28" s="43"/>
      <c r="AF28" s="6"/>
      <c r="AI28" s="92"/>
      <c r="AJ28" s="92"/>
      <c r="AL28" s="198"/>
      <c r="AM28" s="186"/>
      <c r="AN28" s="186"/>
      <c r="AO28" s="187"/>
      <c r="AP28" s="187"/>
      <c r="AQ28" s="187"/>
      <c r="AR28" s="187"/>
      <c r="AS28" s="187"/>
      <c r="AT28" s="187"/>
      <c r="AU28" s="199"/>
      <c r="AV28" s="199"/>
      <c r="AW28" s="199"/>
    </row>
    <row r="29" spans="1:54" ht="12.75">
      <c r="A29" s="184" t="s">
        <v>176</v>
      </c>
      <c r="B29" s="121">
        <v>4</v>
      </c>
      <c r="C29" s="121">
        <v>17</v>
      </c>
      <c r="D29" s="42">
        <f>C29/$A$14</f>
        <v>20</v>
      </c>
      <c r="E29" s="42">
        <f>D29*$A$16</f>
        <v>15</v>
      </c>
      <c r="F29" s="91">
        <f t="shared" si="6"/>
        <v>66.66666666666667</v>
      </c>
      <c r="G29" s="91">
        <f t="shared" si="4"/>
        <v>15.770833333333334</v>
      </c>
      <c r="H29" s="170">
        <v>5000</v>
      </c>
      <c r="I29" s="92">
        <f>H29*$A$19</f>
        <v>1373.6263736263738</v>
      </c>
      <c r="J29" s="162">
        <f>$A$8/E29</f>
        <v>740.7407407407408</v>
      </c>
      <c r="K29" s="162">
        <f>$A$7/E29</f>
        <v>13333.333333333334</v>
      </c>
      <c r="L29" s="118">
        <f t="shared" si="7"/>
        <v>0.10302197802197803</v>
      </c>
      <c r="M29" s="162">
        <f>$A$6-B29</f>
        <v>14</v>
      </c>
      <c r="N29" s="118">
        <f>($A$6-B29)/$A$6</f>
        <v>0.7777777777777778</v>
      </c>
      <c r="O29" s="184" t="s">
        <v>308</v>
      </c>
      <c r="P29" s="121">
        <v>30</v>
      </c>
      <c r="Q29" s="42">
        <f>P29/$A$15</f>
        <v>40</v>
      </c>
      <c r="R29" s="42">
        <f>Q29*$A$16</f>
        <v>30</v>
      </c>
      <c r="S29" s="91">
        <f t="shared" si="8"/>
        <v>33.333333333333336</v>
      </c>
      <c r="T29" s="91">
        <f t="shared" si="5"/>
        <v>7.885416666666667</v>
      </c>
      <c r="U29" s="51">
        <f t="shared" si="9"/>
        <v>0.5</v>
      </c>
      <c r="V29" s="170">
        <v>5000</v>
      </c>
      <c r="W29" s="92">
        <f>V29*$A$19</f>
        <v>1373.6263736263738</v>
      </c>
      <c r="X29" s="162">
        <f>$A$8/R29</f>
        <v>370.3703703703704</v>
      </c>
      <c r="Y29" s="162">
        <f>$A$7/R29</f>
        <v>6666.666666666667</v>
      </c>
      <c r="Z29" s="196">
        <f t="shared" si="10"/>
        <v>0.20604395604395606</v>
      </c>
      <c r="AA29" s="169" t="s">
        <v>176</v>
      </c>
      <c r="AB29" s="180">
        <f>2010+B29</f>
        <v>2014</v>
      </c>
      <c r="AC29" s="42">
        <f>Q29*POWER(1+$A$17,B29)</f>
        <v>45.759168592389194</v>
      </c>
      <c r="AD29" s="42">
        <f>AC29*$A$16</f>
        <v>34.3193764442919</v>
      </c>
      <c r="AE29" s="162">
        <f>$A$8/AD29</f>
        <v>323.7562060355891</v>
      </c>
      <c r="AF29" s="6">
        <f>M29</f>
        <v>14</v>
      </c>
      <c r="AG29" s="162">
        <f>J29-X29</f>
        <v>370.3703703703704</v>
      </c>
      <c r="AH29" s="162">
        <f>AG29*M29</f>
        <v>5185.185185185185</v>
      </c>
      <c r="AI29" s="182">
        <f>AE29-X29</f>
        <v>-46.614164334781265</v>
      </c>
      <c r="AJ29" s="182">
        <f>AI29*AF29</f>
        <v>-652.5983006869377</v>
      </c>
      <c r="AK29" s="162">
        <f>I29*N29</f>
        <v>1068.3760683760686</v>
      </c>
      <c r="AL29" s="196">
        <f>AK29/(AH29+AJ29)</f>
        <v>0.23571000305145537</v>
      </c>
      <c r="AM29" s="186">
        <f>AH29+AJ29-AK29</f>
        <v>3464.2108161221795</v>
      </c>
      <c r="AN29" s="186">
        <f>AM29/M29</f>
        <v>247.44362972301283</v>
      </c>
      <c r="AO29" s="188">
        <f>AQ29*$A$13*$AO$24</f>
        <v>10392.632448366538</v>
      </c>
      <c r="AP29" s="188">
        <f>AO29/M29</f>
        <v>742.3308891690384</v>
      </c>
      <c r="AQ29" s="187">
        <f>AM29*$A$11/$A$12</f>
        <v>30.8314762634874</v>
      </c>
      <c r="AR29" s="188">
        <f>AQ29*$AR$24</f>
        <v>924.944287904622</v>
      </c>
      <c r="AS29" s="187">
        <f t="shared" si="11"/>
        <v>25.49019607843137</v>
      </c>
      <c r="AT29" s="187">
        <f>AM29/(M29*AS29)</f>
        <v>9.707403935287427</v>
      </c>
      <c r="AU29" s="206">
        <f>W29/(J29-X29)</f>
        <v>3.7087912087912094</v>
      </c>
      <c r="AV29" s="207">
        <f>AU29*$A$8</f>
        <v>41208.79120879122</v>
      </c>
      <c r="AW29" s="196">
        <f>AU29/M29</f>
        <v>0.26491365777080067</v>
      </c>
      <c r="AX29" s="118"/>
      <c r="AY29" s="118"/>
      <c r="AZ29" s="118"/>
      <c r="BA29" s="118"/>
      <c r="BB29" s="118"/>
    </row>
    <row r="30" spans="1:54" ht="12.75">
      <c r="A30" s="184" t="s">
        <v>176</v>
      </c>
      <c r="B30" s="121">
        <v>8</v>
      </c>
      <c r="C30" s="121">
        <v>17</v>
      </c>
      <c r="D30" s="42">
        <f>C30/$A$14</f>
        <v>20</v>
      </c>
      <c r="E30" s="42">
        <f>D30*$A$16</f>
        <v>15</v>
      </c>
      <c r="F30" s="91">
        <f t="shared" si="6"/>
        <v>66.66666666666667</v>
      </c>
      <c r="G30" s="91">
        <f t="shared" si="4"/>
        <v>15.770833333333334</v>
      </c>
      <c r="H30" s="170">
        <v>5000</v>
      </c>
      <c r="I30" s="92">
        <f>H30*$A$19</f>
        <v>1373.6263736263738</v>
      </c>
      <c r="J30" s="162">
        <f>$A$8/E30</f>
        <v>740.7407407407408</v>
      </c>
      <c r="K30" s="162">
        <f>$A$7/E30</f>
        <v>13333.333333333334</v>
      </c>
      <c r="L30" s="118">
        <f t="shared" si="7"/>
        <v>0.10302197802197803</v>
      </c>
      <c r="M30" s="162">
        <f>$A$6-B30</f>
        <v>10</v>
      </c>
      <c r="N30" s="118">
        <f>($A$6-B30)/$A$6</f>
        <v>0.5555555555555556</v>
      </c>
      <c r="O30" s="184" t="s">
        <v>308</v>
      </c>
      <c r="P30" s="121">
        <v>30</v>
      </c>
      <c r="Q30" s="42">
        <f>P30/$A$15</f>
        <v>40</v>
      </c>
      <c r="R30" s="42">
        <f>Q30*$A$16</f>
        <v>30</v>
      </c>
      <c r="S30" s="91">
        <f t="shared" si="8"/>
        <v>33.333333333333336</v>
      </c>
      <c r="T30" s="91">
        <f t="shared" si="5"/>
        <v>7.885416666666667</v>
      </c>
      <c r="U30" s="51">
        <f t="shared" si="9"/>
        <v>0.5</v>
      </c>
      <c r="V30" s="170">
        <v>5000</v>
      </c>
      <c r="W30" s="92">
        <f>V30*$A$19</f>
        <v>1373.6263736263738</v>
      </c>
      <c r="X30" s="162">
        <f>$A$8/R30</f>
        <v>370.3703703703704</v>
      </c>
      <c r="Y30" s="162">
        <f>$A$7/R30</f>
        <v>6666.666666666667</v>
      </c>
      <c r="Z30" s="196">
        <f t="shared" si="10"/>
        <v>0.20604395604395606</v>
      </c>
      <c r="AA30" s="169" t="s">
        <v>176</v>
      </c>
      <c r="AB30" s="180">
        <f>2010+B30</f>
        <v>2018</v>
      </c>
      <c r="AC30" s="42">
        <f>Q30*POWER(1+$A$17,B30)</f>
        <v>52.34753775666745</v>
      </c>
      <c r="AD30" s="42">
        <f>AC30*$A$16</f>
        <v>39.260653317500584</v>
      </c>
      <c r="AE30" s="162">
        <f>$A$8/AD30</f>
        <v>283.00881855570884</v>
      </c>
      <c r="AF30" s="6">
        <f>M30</f>
        <v>10</v>
      </c>
      <c r="AG30" s="162">
        <f>J30-X30</f>
        <v>370.3703703703704</v>
      </c>
      <c r="AH30" s="162">
        <f>AG30*M30</f>
        <v>3703.703703703704</v>
      </c>
      <c r="AI30" s="182">
        <f>AE30-X30</f>
        <v>-87.36155181466154</v>
      </c>
      <c r="AJ30" s="182">
        <f>AI30*AF30</f>
        <v>-873.6155181466154</v>
      </c>
      <c r="AK30" s="162">
        <f>I30*N30</f>
        <v>763.1257631257632</v>
      </c>
      <c r="AL30" s="196">
        <f>AK30/(AH30+AJ30)</f>
        <v>0.2696473442136029</v>
      </c>
      <c r="AM30" s="186">
        <f>AH30+AJ30-AK30</f>
        <v>2066.9624224313256</v>
      </c>
      <c r="AN30" s="186">
        <f>AM30/M30</f>
        <v>206.69624224313256</v>
      </c>
      <c r="AO30" s="188">
        <f>AQ30*$A$13*$AO$24</f>
        <v>6200.887267293977</v>
      </c>
      <c r="AP30" s="188">
        <f>AO30/M30</f>
        <v>620.0887267293976</v>
      </c>
      <c r="AQ30" s="187">
        <f>AM30*$A$11/$A$12</f>
        <v>18.3959655596388</v>
      </c>
      <c r="AR30" s="188">
        <f>AQ30*$AR$24</f>
        <v>551.878966789164</v>
      </c>
      <c r="AS30" s="187">
        <f t="shared" si="11"/>
        <v>25.49019607843137</v>
      </c>
      <c r="AT30" s="187">
        <f>AM30/(M30*AS30)</f>
        <v>8.10885258030751</v>
      </c>
      <c r="AU30" s="206">
        <f>W30/(J30-X30)</f>
        <v>3.7087912087912094</v>
      </c>
      <c r="AV30" s="207">
        <f>AU30*$A$8</f>
        <v>41208.79120879122</v>
      </c>
      <c r="AW30" s="196">
        <f>AU30/M30</f>
        <v>0.37087912087912095</v>
      </c>
      <c r="AX30" s="118"/>
      <c r="AY30" s="118"/>
      <c r="AZ30" s="118"/>
      <c r="BA30" s="118"/>
      <c r="BB30" s="118"/>
    </row>
    <row r="31" spans="1:54" ht="12.75">
      <c r="A31" s="184" t="s">
        <v>176</v>
      </c>
      <c r="B31" s="121">
        <v>12</v>
      </c>
      <c r="C31" s="121">
        <v>17</v>
      </c>
      <c r="D31" s="42">
        <f>C31/$A$14</f>
        <v>20</v>
      </c>
      <c r="E31" s="42">
        <f>D31*$A$16</f>
        <v>15</v>
      </c>
      <c r="F31" s="91">
        <f t="shared" si="6"/>
        <v>66.66666666666667</v>
      </c>
      <c r="G31" s="91">
        <f t="shared" si="4"/>
        <v>15.770833333333334</v>
      </c>
      <c r="H31" s="170">
        <v>5000</v>
      </c>
      <c r="I31" s="92">
        <f>H31*$A$19</f>
        <v>1373.6263736263738</v>
      </c>
      <c r="J31" s="162">
        <f>$A$8/E31</f>
        <v>740.7407407407408</v>
      </c>
      <c r="K31" s="162">
        <f>$A$7/E31</f>
        <v>13333.333333333334</v>
      </c>
      <c r="L31" s="118">
        <f t="shared" si="7"/>
        <v>0.10302197802197803</v>
      </c>
      <c r="M31" s="162">
        <f>$A$6-B31</f>
        <v>6</v>
      </c>
      <c r="N31" s="118">
        <f>($A$6-B31)/$A$6</f>
        <v>0.3333333333333333</v>
      </c>
      <c r="O31" s="184" t="s">
        <v>308</v>
      </c>
      <c r="P31" s="121">
        <v>30</v>
      </c>
      <c r="Q31" s="42">
        <f>P31/$A$15</f>
        <v>40</v>
      </c>
      <c r="R31" s="42">
        <f>Q31*$A$16</f>
        <v>30</v>
      </c>
      <c r="S31" s="91">
        <f t="shared" si="8"/>
        <v>33.333333333333336</v>
      </c>
      <c r="T31" s="91">
        <f t="shared" si="5"/>
        <v>7.885416666666667</v>
      </c>
      <c r="U31" s="51">
        <f t="shared" si="9"/>
        <v>0.5</v>
      </c>
      <c r="V31" s="170">
        <v>5000</v>
      </c>
      <c r="W31" s="92">
        <f>V31*$A$19</f>
        <v>1373.6263736263738</v>
      </c>
      <c r="X31" s="162">
        <f>$A$8/R31</f>
        <v>370.3703703703704</v>
      </c>
      <c r="Y31" s="162">
        <f>$A$7/R31</f>
        <v>6666.666666666667</v>
      </c>
      <c r="Z31" s="196">
        <f t="shared" si="10"/>
        <v>0.20604395604395606</v>
      </c>
      <c r="AA31" s="169" t="s">
        <v>176</v>
      </c>
      <c r="AB31" s="180">
        <f>2010+B31</f>
        <v>2022</v>
      </c>
      <c r="AC31" s="42">
        <f>Q31*POWER(1+$A$17,B31)</f>
        <v>59.88449514009511</v>
      </c>
      <c r="AD31" s="42">
        <f>AC31*$A$16</f>
        <v>44.913371355071334</v>
      </c>
      <c r="AE31" s="162">
        <f>$A$8/AD31</f>
        <v>247.38982569956897</v>
      </c>
      <c r="AF31" s="6">
        <f>M31</f>
        <v>6</v>
      </c>
      <c r="AG31" s="162">
        <f>J31-X31</f>
        <v>370.3703703703704</v>
      </c>
      <c r="AH31" s="162">
        <f>AG31*M31</f>
        <v>2222.222222222222</v>
      </c>
      <c r="AI31" s="182">
        <f>AE31-X31</f>
        <v>-122.98054467080141</v>
      </c>
      <c r="AJ31" s="182">
        <f>AI31*AF31</f>
        <v>-737.8832680248084</v>
      </c>
      <c r="AK31" s="162">
        <f>I31*N31</f>
        <v>457.8754578754579</v>
      </c>
      <c r="AL31" s="196">
        <f>AK31/(AH31+AJ31)</f>
        <v>0.30847095710900646</v>
      </c>
      <c r="AM31" s="186">
        <f>AH31+AJ31-AK31</f>
        <v>1026.463496321956</v>
      </c>
      <c r="AN31" s="186">
        <f>AM31/M31</f>
        <v>171.07724938699266</v>
      </c>
      <c r="AO31" s="188">
        <f>AQ31*$A$13*$AO$24</f>
        <v>3079.390488965867</v>
      </c>
      <c r="AP31" s="188">
        <f>AO31/M31</f>
        <v>513.2317481609779</v>
      </c>
      <c r="AQ31" s="187">
        <f>AM31*$A$11/$A$12</f>
        <v>9.135525117265408</v>
      </c>
      <c r="AR31" s="188">
        <f>AQ31*$AR$24</f>
        <v>274.0657535179622</v>
      </c>
      <c r="AS31" s="187">
        <f t="shared" si="11"/>
        <v>25.49019607843137</v>
      </c>
      <c r="AT31" s="187">
        <f>AM31/(M31*AS31)</f>
        <v>6.711492091335866</v>
      </c>
      <c r="AU31" s="206">
        <f>W31/(J31-X31)</f>
        <v>3.7087912087912094</v>
      </c>
      <c r="AV31" s="207">
        <f>AU31*$A$8</f>
        <v>41208.79120879122</v>
      </c>
      <c r="AW31" s="196">
        <f>AU31/M31</f>
        <v>0.6181318681318683</v>
      </c>
      <c r="AX31" s="118"/>
      <c r="AY31" s="118"/>
      <c r="AZ31" s="118"/>
      <c r="BA31" s="118"/>
      <c r="BB31" s="118"/>
    </row>
    <row r="32" spans="1:49" ht="12.75">
      <c r="A32" s="121"/>
      <c r="B32" s="121"/>
      <c r="C32" s="121"/>
      <c r="D32" s="43"/>
      <c r="E32" s="43"/>
      <c r="F32" s="91"/>
      <c r="G32" s="91"/>
      <c r="H32" s="170"/>
      <c r="L32" s="118"/>
      <c r="O32" s="121"/>
      <c r="P32" s="121"/>
      <c r="Q32" s="43"/>
      <c r="R32" s="43"/>
      <c r="S32" s="91"/>
      <c r="T32" s="43"/>
      <c r="U32" s="51"/>
      <c r="V32" s="170"/>
      <c r="Z32" s="196"/>
      <c r="AA32" s="170"/>
      <c r="AD32" s="43"/>
      <c r="AF32" s="6"/>
      <c r="AI32" s="92"/>
      <c r="AJ32" s="92"/>
      <c r="AL32" s="198"/>
      <c r="AM32" s="186"/>
      <c r="AN32" s="186"/>
      <c r="AO32" s="187"/>
      <c r="AP32" s="187"/>
      <c r="AQ32" s="187"/>
      <c r="AR32" s="187"/>
      <c r="AS32" s="187"/>
      <c r="AT32" s="187"/>
      <c r="AU32" s="199"/>
      <c r="AV32" s="199"/>
      <c r="AW32" s="199"/>
    </row>
    <row r="33" spans="1:54" ht="12.75">
      <c r="A33" s="184" t="s">
        <v>176</v>
      </c>
      <c r="B33" s="121">
        <v>4</v>
      </c>
      <c r="C33" s="121">
        <v>17</v>
      </c>
      <c r="D33" s="42">
        <f>C33/$A$14</f>
        <v>20</v>
      </c>
      <c r="E33" s="42">
        <f>D33*$A$16</f>
        <v>15</v>
      </c>
      <c r="F33" s="91">
        <f t="shared" si="6"/>
        <v>66.66666666666667</v>
      </c>
      <c r="G33" s="91">
        <f t="shared" si="4"/>
        <v>15.770833333333334</v>
      </c>
      <c r="H33" s="170">
        <v>5000</v>
      </c>
      <c r="I33" s="92">
        <f>H33*$A$19</f>
        <v>1373.6263736263738</v>
      </c>
      <c r="J33" s="162">
        <f>$A$8/E33</f>
        <v>740.7407407407408</v>
      </c>
      <c r="K33" s="162">
        <f>$A$7/E33</f>
        <v>13333.333333333334</v>
      </c>
      <c r="L33" s="118">
        <f t="shared" si="7"/>
        <v>0.10302197802197803</v>
      </c>
      <c r="M33" s="162">
        <f>$A$6-B33</f>
        <v>14</v>
      </c>
      <c r="N33" s="118">
        <f>($A$6-B33)/$A$6</f>
        <v>0.7777777777777778</v>
      </c>
      <c r="O33" s="184" t="s">
        <v>313</v>
      </c>
      <c r="P33" s="121">
        <v>55</v>
      </c>
      <c r="Q33" s="42">
        <f>P33/$A$15</f>
        <v>73.33333333333333</v>
      </c>
      <c r="R33" s="42">
        <f>Q33*$A$16</f>
        <v>55</v>
      </c>
      <c r="S33" s="91">
        <f t="shared" si="8"/>
        <v>18.181818181818183</v>
      </c>
      <c r="T33" s="91">
        <f t="shared" si="5"/>
        <v>4.301136363636363</v>
      </c>
      <c r="U33" s="51">
        <f t="shared" si="9"/>
        <v>0.2727272727272727</v>
      </c>
      <c r="V33" s="170">
        <v>5000</v>
      </c>
      <c r="W33" s="92">
        <f>V33*$A$19</f>
        <v>1373.6263736263738</v>
      </c>
      <c r="X33" s="162">
        <f>$A$8/R33</f>
        <v>202.02020202020202</v>
      </c>
      <c r="Y33" s="162">
        <f>$A$7/R33</f>
        <v>3636.3636363636365</v>
      </c>
      <c r="Z33" s="196">
        <f t="shared" si="10"/>
        <v>0.3777472527472528</v>
      </c>
      <c r="AA33" s="169" t="s">
        <v>176</v>
      </c>
      <c r="AB33" s="180">
        <f>2010+B33</f>
        <v>2014</v>
      </c>
      <c r="AC33" s="42">
        <f>Q33*POWER(1+$A$17,B33)</f>
        <v>83.89180908604685</v>
      </c>
      <c r="AD33" s="42">
        <f>AC33*$A$16</f>
        <v>62.91885681453513</v>
      </c>
      <c r="AE33" s="162">
        <f>$A$8/AD33</f>
        <v>176.59429420123047</v>
      </c>
      <c r="AF33" s="6">
        <f>M33</f>
        <v>14</v>
      </c>
      <c r="AG33" s="162">
        <f>J33-X33</f>
        <v>538.7205387205388</v>
      </c>
      <c r="AH33" s="162">
        <f>AG33*M33</f>
        <v>7542.087542087544</v>
      </c>
      <c r="AI33" s="182">
        <f>AE33-X33</f>
        <v>-25.425907818971552</v>
      </c>
      <c r="AJ33" s="182">
        <f>AI33*AF33</f>
        <v>-355.96270946560173</v>
      </c>
      <c r="AK33" s="162">
        <f>I33*N33</f>
        <v>1068.3760683760686</v>
      </c>
      <c r="AL33" s="196">
        <f>AK33/(AH33+AJ33)</f>
        <v>0.14867207198045002</v>
      </c>
      <c r="AM33" s="186">
        <f>AH33+AJ33-AK33</f>
        <v>6117.748764245874</v>
      </c>
      <c r="AN33" s="186">
        <f>AM33/M33</f>
        <v>436.982054588991</v>
      </c>
      <c r="AO33" s="188">
        <f>AQ33*$A$13*$AO$24</f>
        <v>18353.246292737622</v>
      </c>
      <c r="AP33" s="188">
        <f>AO33/M33</f>
        <v>1310.946163766973</v>
      </c>
      <c r="AQ33" s="187">
        <f>AM33*$A$11/$A$12</f>
        <v>54.44796400178828</v>
      </c>
      <c r="AR33" s="188">
        <f>AQ33*$AR$24</f>
        <v>1633.4389200536484</v>
      </c>
      <c r="AS33" s="187">
        <f t="shared" si="11"/>
        <v>40.64171122994652</v>
      </c>
      <c r="AT33" s="187">
        <f>AM33/(M33*AS33)</f>
        <v>10.752058448439646</v>
      </c>
      <c r="AU33" s="206">
        <f>W33/(J33-X33)</f>
        <v>2.549793956043956</v>
      </c>
      <c r="AV33" s="207">
        <f>AU33*$A$8</f>
        <v>28331.04395604396</v>
      </c>
      <c r="AW33" s="196">
        <f>AU33/M33</f>
        <v>0.18212813971742545</v>
      </c>
      <c r="AX33" s="118"/>
      <c r="AY33" s="118"/>
      <c r="AZ33" s="118"/>
      <c r="BA33" s="118"/>
      <c r="BB33" s="118"/>
    </row>
    <row r="34" spans="1:54" ht="12.75">
      <c r="A34" s="184" t="s">
        <v>176</v>
      </c>
      <c r="B34" s="121">
        <v>8</v>
      </c>
      <c r="C34" s="121">
        <v>17</v>
      </c>
      <c r="D34" s="42">
        <f>C34/$A$14</f>
        <v>20</v>
      </c>
      <c r="E34" s="42">
        <f>D34*$A$16</f>
        <v>15</v>
      </c>
      <c r="F34" s="91">
        <f t="shared" si="6"/>
        <v>66.66666666666667</v>
      </c>
      <c r="G34" s="91">
        <f t="shared" si="4"/>
        <v>15.770833333333334</v>
      </c>
      <c r="H34" s="170">
        <v>5000</v>
      </c>
      <c r="I34" s="92">
        <f>H34*$A$19</f>
        <v>1373.6263736263738</v>
      </c>
      <c r="J34" s="162">
        <f>$A$8/E34</f>
        <v>740.7407407407408</v>
      </c>
      <c r="K34" s="162">
        <f>$A$7/E34</f>
        <v>13333.333333333334</v>
      </c>
      <c r="L34" s="118">
        <f t="shared" si="7"/>
        <v>0.10302197802197803</v>
      </c>
      <c r="M34" s="162">
        <f>$A$6-B34</f>
        <v>10</v>
      </c>
      <c r="N34" s="118">
        <f>($A$6-B34)/$A$6</f>
        <v>0.5555555555555556</v>
      </c>
      <c r="O34" s="184" t="s">
        <v>313</v>
      </c>
      <c r="P34" s="121">
        <v>55</v>
      </c>
      <c r="Q34" s="42">
        <f>P34/$A$15</f>
        <v>73.33333333333333</v>
      </c>
      <c r="R34" s="42">
        <f>Q34*$A$16</f>
        <v>55</v>
      </c>
      <c r="S34" s="91">
        <f t="shared" si="8"/>
        <v>18.181818181818183</v>
      </c>
      <c r="T34" s="91">
        <f t="shared" si="5"/>
        <v>4.301136363636363</v>
      </c>
      <c r="U34" s="51">
        <f t="shared" si="9"/>
        <v>0.2727272727272727</v>
      </c>
      <c r="V34" s="170">
        <v>5000</v>
      </c>
      <c r="W34" s="92">
        <f>V34*$A$19</f>
        <v>1373.6263736263738</v>
      </c>
      <c r="X34" s="162">
        <f>$A$8/R34</f>
        <v>202.02020202020202</v>
      </c>
      <c r="Y34" s="162">
        <f>$A$7/R34</f>
        <v>3636.3636363636365</v>
      </c>
      <c r="Z34" s="196">
        <f t="shared" si="10"/>
        <v>0.3777472527472528</v>
      </c>
      <c r="AA34" s="169" t="s">
        <v>176</v>
      </c>
      <c r="AB34" s="180">
        <f>2010+B34</f>
        <v>2018</v>
      </c>
      <c r="AC34" s="42">
        <f>Q34*POWER(1+$A$17,B34)</f>
        <v>95.97048588722365</v>
      </c>
      <c r="AD34" s="42">
        <f>AC34*$A$16</f>
        <v>71.97786441541774</v>
      </c>
      <c r="AE34" s="162">
        <f>$A$8/AD34</f>
        <v>154.3684464849321</v>
      </c>
      <c r="AF34" s="6">
        <f>M34</f>
        <v>10</v>
      </c>
      <c r="AG34" s="162">
        <f>J34-X34</f>
        <v>538.7205387205388</v>
      </c>
      <c r="AH34" s="162">
        <f>AG34*M34</f>
        <v>5387.2053872053875</v>
      </c>
      <c r="AI34" s="182">
        <f>AE34-X34</f>
        <v>-47.65175553526993</v>
      </c>
      <c r="AJ34" s="182">
        <f>AI34*AF34</f>
        <v>-476.5175553526993</v>
      </c>
      <c r="AK34" s="162">
        <f>I34*N34</f>
        <v>763.1257631257632</v>
      </c>
      <c r="AL34" s="196">
        <f>AK34/(AH34+AJ34)</f>
        <v>0.15540099254035736</v>
      </c>
      <c r="AM34" s="186">
        <f>AH34+AJ34-AK34</f>
        <v>4147.562068726925</v>
      </c>
      <c r="AN34" s="186">
        <f>AM34/M34</f>
        <v>414.7562068726925</v>
      </c>
      <c r="AO34" s="188">
        <f>AQ34*$A$13*$AO$24</f>
        <v>12442.686206180773</v>
      </c>
      <c r="AP34" s="188">
        <f>AO34/M34</f>
        <v>1244.2686206180774</v>
      </c>
      <c r="AQ34" s="187">
        <f>AM34*$A$11/$A$12</f>
        <v>36.91330241166963</v>
      </c>
      <c r="AR34" s="188">
        <f>AQ34*$AR$24</f>
        <v>1107.399072350089</v>
      </c>
      <c r="AS34" s="187">
        <f t="shared" si="11"/>
        <v>40.64171122994652</v>
      </c>
      <c r="AT34" s="187">
        <f>AM34/(M34*AS34)</f>
        <v>10.205185616472829</v>
      </c>
      <c r="AU34" s="206">
        <f>W34/(J34-X34)</f>
        <v>2.549793956043956</v>
      </c>
      <c r="AV34" s="207">
        <f>AU34*$A$8</f>
        <v>28331.04395604396</v>
      </c>
      <c r="AW34" s="196">
        <f>AU34/M34</f>
        <v>0.25497939560439564</v>
      </c>
      <c r="AX34" s="118"/>
      <c r="AY34" s="118"/>
      <c r="AZ34" s="118"/>
      <c r="BA34" s="118"/>
      <c r="BB34" s="118"/>
    </row>
    <row r="35" spans="1:54" ht="12.75">
      <c r="A35" s="184" t="s">
        <v>176</v>
      </c>
      <c r="B35" s="121">
        <v>12</v>
      </c>
      <c r="C35" s="121">
        <v>17</v>
      </c>
      <c r="D35" s="42">
        <f>C35/$A$14</f>
        <v>20</v>
      </c>
      <c r="E35" s="42">
        <f>D35*$A$16</f>
        <v>15</v>
      </c>
      <c r="F35" s="91">
        <f t="shared" si="6"/>
        <v>66.66666666666667</v>
      </c>
      <c r="G35" s="91">
        <f t="shared" si="4"/>
        <v>15.770833333333334</v>
      </c>
      <c r="H35" s="170">
        <v>5000</v>
      </c>
      <c r="I35" s="92">
        <f>H35*$A$19</f>
        <v>1373.6263736263738</v>
      </c>
      <c r="J35" s="162">
        <f>$A$8/E35</f>
        <v>740.7407407407408</v>
      </c>
      <c r="K35" s="162">
        <f>$A$7/E35</f>
        <v>13333.333333333334</v>
      </c>
      <c r="L35" s="118">
        <f t="shared" si="7"/>
        <v>0.10302197802197803</v>
      </c>
      <c r="M35" s="162">
        <f>$A$6-B35</f>
        <v>6</v>
      </c>
      <c r="N35" s="118">
        <f>($A$6-B35)/$A$6</f>
        <v>0.3333333333333333</v>
      </c>
      <c r="O35" s="184" t="s">
        <v>313</v>
      </c>
      <c r="P35" s="121">
        <v>55</v>
      </c>
      <c r="Q35" s="42">
        <f>P35/$A$15</f>
        <v>73.33333333333333</v>
      </c>
      <c r="R35" s="42">
        <f>Q35*$A$16</f>
        <v>55</v>
      </c>
      <c r="S35" s="91">
        <f t="shared" si="8"/>
        <v>18.181818181818183</v>
      </c>
      <c r="T35" s="91">
        <f t="shared" si="5"/>
        <v>4.301136363636363</v>
      </c>
      <c r="U35" s="51">
        <f t="shared" si="9"/>
        <v>0.2727272727272727</v>
      </c>
      <c r="V35" s="170">
        <v>5000</v>
      </c>
      <c r="W35" s="92">
        <f>V35*$A$19</f>
        <v>1373.6263736263738</v>
      </c>
      <c r="X35" s="162">
        <f>$A$8/R35</f>
        <v>202.02020202020202</v>
      </c>
      <c r="Y35" s="162">
        <f>$A$7/R35</f>
        <v>3636.3636363636365</v>
      </c>
      <c r="Z35" s="196">
        <f t="shared" si="10"/>
        <v>0.3777472527472528</v>
      </c>
      <c r="AA35" s="169" t="s">
        <v>176</v>
      </c>
      <c r="AB35" s="180">
        <f>2010+B35</f>
        <v>2022</v>
      </c>
      <c r="AC35" s="42">
        <f>Q35*POWER(1+$A$17,B35)</f>
        <v>109.78824109017437</v>
      </c>
      <c r="AD35" s="42">
        <f>AC35*$A$16</f>
        <v>82.34118081763077</v>
      </c>
      <c r="AE35" s="162">
        <f>$A$8/AD35</f>
        <v>134.93990492703765</v>
      </c>
      <c r="AF35" s="6">
        <f>M35</f>
        <v>6</v>
      </c>
      <c r="AG35" s="162">
        <f>J35-X35</f>
        <v>538.7205387205388</v>
      </c>
      <c r="AH35" s="162">
        <f>AG35*M35</f>
        <v>3232.323232323233</v>
      </c>
      <c r="AI35" s="182">
        <f>AE35-X35</f>
        <v>-67.08029709316438</v>
      </c>
      <c r="AJ35" s="182">
        <f>AI35*AF35</f>
        <v>-402.48178255898625</v>
      </c>
      <c r="AK35" s="162">
        <f>I35*N35</f>
        <v>457.8754578754579</v>
      </c>
      <c r="AL35" s="196">
        <f>AK35/(AH35+AJ35)</f>
        <v>0.16180251296891685</v>
      </c>
      <c r="AM35" s="186">
        <f>AH35+AJ35-AK35</f>
        <v>2371.9659918887887</v>
      </c>
      <c r="AN35" s="186">
        <f>AM35/M35</f>
        <v>395.32766531479814</v>
      </c>
      <c r="AO35" s="188">
        <f>AQ35*$A$13*$AO$24</f>
        <v>7115.897975666365</v>
      </c>
      <c r="AP35" s="188">
        <f>AO35/M35</f>
        <v>1185.9829959443941</v>
      </c>
      <c r="AQ35" s="187">
        <f>AM35*$A$11/$A$12</f>
        <v>21.11049732781022</v>
      </c>
      <c r="AR35" s="188">
        <f>AQ35*$AR$24</f>
        <v>633.3149198343066</v>
      </c>
      <c r="AS35" s="187">
        <f t="shared" si="11"/>
        <v>40.64171122994652</v>
      </c>
      <c r="AT35" s="187">
        <f>AM35/(M35*AS35)</f>
        <v>9.727141238666743</v>
      </c>
      <c r="AU35" s="206">
        <f>W35/(J35-X35)</f>
        <v>2.549793956043956</v>
      </c>
      <c r="AV35" s="207">
        <f>AU35*$A$8</f>
        <v>28331.04395604396</v>
      </c>
      <c r="AW35" s="196">
        <f>AU35/M35</f>
        <v>0.4249656593406594</v>
      </c>
      <c r="AX35" s="118"/>
      <c r="AY35" s="118"/>
      <c r="AZ35" s="118"/>
      <c r="BA35" s="118"/>
      <c r="BB35" s="118"/>
    </row>
    <row r="36" spans="1:49" ht="12.75">
      <c r="A36" s="121"/>
      <c r="B36" s="121"/>
      <c r="C36" s="121"/>
      <c r="D36" s="43"/>
      <c r="E36" s="43"/>
      <c r="F36" s="91"/>
      <c r="G36" s="91"/>
      <c r="H36" s="170"/>
      <c r="L36" s="118"/>
      <c r="O36" s="121"/>
      <c r="P36" s="121"/>
      <c r="Q36" s="43"/>
      <c r="R36" s="43"/>
      <c r="S36" s="91"/>
      <c r="T36" s="43"/>
      <c r="U36" s="51"/>
      <c r="V36" s="170"/>
      <c r="Z36" s="196"/>
      <c r="AA36" s="170"/>
      <c r="AD36" s="43"/>
      <c r="AF36" s="6"/>
      <c r="AI36" s="92"/>
      <c r="AJ36" s="92"/>
      <c r="AL36" s="198"/>
      <c r="AM36" s="186"/>
      <c r="AN36" s="186"/>
      <c r="AO36" s="187"/>
      <c r="AP36" s="187"/>
      <c r="AQ36" s="187"/>
      <c r="AR36" s="187"/>
      <c r="AS36" s="187"/>
      <c r="AT36" s="187"/>
      <c r="AU36" s="199"/>
      <c r="AV36" s="199"/>
      <c r="AW36" s="199"/>
    </row>
    <row r="37" spans="1:54" ht="12.75">
      <c r="A37" s="184" t="s">
        <v>176</v>
      </c>
      <c r="B37" s="121">
        <v>4</v>
      </c>
      <c r="C37" s="121">
        <v>17</v>
      </c>
      <c r="D37" s="42">
        <f>C37/$A$14</f>
        <v>20</v>
      </c>
      <c r="E37" s="42">
        <f>D37*$A$16</f>
        <v>15</v>
      </c>
      <c r="F37" s="91">
        <f t="shared" si="6"/>
        <v>66.66666666666667</v>
      </c>
      <c r="G37" s="91">
        <f t="shared" si="4"/>
        <v>15.770833333333334</v>
      </c>
      <c r="H37" s="170">
        <v>5000</v>
      </c>
      <c r="I37" s="92">
        <f>H37*$A$19</f>
        <v>1373.6263736263738</v>
      </c>
      <c r="J37" s="162">
        <f>$A$8/E37</f>
        <v>740.7407407407408</v>
      </c>
      <c r="K37" s="162">
        <f>$A$7/E37</f>
        <v>13333.333333333334</v>
      </c>
      <c r="L37" s="118">
        <f t="shared" si="7"/>
        <v>0.10302197802197803</v>
      </c>
      <c r="M37" s="162">
        <f>$A$6-B37</f>
        <v>14</v>
      </c>
      <c r="N37" s="118">
        <f>($A$6-B37)/$A$6</f>
        <v>0.7777777777777778</v>
      </c>
      <c r="O37" s="184" t="s">
        <v>309</v>
      </c>
      <c r="P37" s="121">
        <v>45</v>
      </c>
      <c r="Q37" s="42">
        <f>P37/$A$15</f>
        <v>60</v>
      </c>
      <c r="R37" s="42">
        <f>Q37*$A$16</f>
        <v>45</v>
      </c>
      <c r="S37" s="91">
        <f t="shared" si="8"/>
        <v>22.22222222222222</v>
      </c>
      <c r="T37" s="91">
        <f>100*3.785/1.6/R37</f>
        <v>5.256944444444445</v>
      </c>
      <c r="U37" s="51">
        <f t="shared" si="9"/>
        <v>0.3333333333333333</v>
      </c>
      <c r="V37" s="170">
        <v>3000</v>
      </c>
      <c r="W37" s="92">
        <f>V37*$A$19</f>
        <v>824.1758241758242</v>
      </c>
      <c r="X37" s="162">
        <f>$A$8/R37</f>
        <v>246.9135802469136</v>
      </c>
      <c r="Y37" s="162">
        <f>$A$7/R37</f>
        <v>4444.444444444444</v>
      </c>
      <c r="Z37" s="196">
        <f t="shared" si="10"/>
        <v>0.18543956043956045</v>
      </c>
      <c r="AA37" s="169" t="s">
        <v>179</v>
      </c>
      <c r="AB37" s="180">
        <f>2010+B37</f>
        <v>2014</v>
      </c>
      <c r="AC37" s="42">
        <f>Q37*POWER(1+$A$17,B37)</f>
        <v>68.6387528885838</v>
      </c>
      <c r="AD37" s="42">
        <f>AC37*$A$16</f>
        <v>51.47906466643785</v>
      </c>
      <c r="AE37" s="162">
        <f aca="true" t="shared" si="12" ref="AE37:AE59">$A$8/AD37</f>
        <v>215.83747069039273</v>
      </c>
      <c r="AF37" s="6">
        <f>M37</f>
        <v>14</v>
      </c>
      <c r="AG37" s="162">
        <f>J37-X37</f>
        <v>493.82716049382714</v>
      </c>
      <c r="AH37" s="162">
        <f>AG37*M37</f>
        <v>6913.58024691358</v>
      </c>
      <c r="AI37" s="182">
        <f>AE37-X37</f>
        <v>-31.076109556520862</v>
      </c>
      <c r="AJ37" s="182">
        <f>AI37*AF37</f>
        <v>-435.06553379129207</v>
      </c>
      <c r="AK37" s="162">
        <f>I37*N37</f>
        <v>1068.3760683760686</v>
      </c>
      <c r="AL37" s="196">
        <f>AK37/(AH37+AJ37)</f>
        <v>0.16491064938265304</v>
      </c>
      <c r="AM37" s="186">
        <f>AH37+AJ37-AK37</f>
        <v>5410.138644746219</v>
      </c>
      <c r="AN37" s="186">
        <f>AM37/M37</f>
        <v>386.43847462472996</v>
      </c>
      <c r="AO37" s="188">
        <f>AQ37*$A$13*$AO$24</f>
        <v>16230.415934238657</v>
      </c>
      <c r="AP37" s="188">
        <f>AO37/M37</f>
        <v>1159.3154238741897</v>
      </c>
      <c r="AQ37" s="187">
        <f aca="true" t="shared" si="13" ref="AQ37:AQ59">AM37*$A$11/$A$12</f>
        <v>48.15023393824136</v>
      </c>
      <c r="AR37" s="188">
        <f>AQ37*$AR$24</f>
        <v>1444.5070181472406</v>
      </c>
      <c r="AS37" s="187">
        <f t="shared" si="11"/>
        <v>36.60130718954248</v>
      </c>
      <c r="AT37" s="187">
        <f>AM37/(M37*AS37)</f>
        <v>10.558051181711372</v>
      </c>
      <c r="AU37" s="206">
        <f>W37/(J37-X37)</f>
        <v>1.6689560439560442</v>
      </c>
      <c r="AV37" s="207">
        <f>AU37*$A$8</f>
        <v>18543.95604395605</v>
      </c>
      <c r="AW37" s="196">
        <f>AU37/M37</f>
        <v>0.11921114599686031</v>
      </c>
      <c r="AX37" s="118"/>
      <c r="AY37" s="118"/>
      <c r="AZ37" s="118"/>
      <c r="BA37" s="118"/>
      <c r="BB37" s="118"/>
    </row>
    <row r="38" spans="1:54" ht="12.75">
      <c r="A38" s="184" t="s">
        <v>176</v>
      </c>
      <c r="B38" s="121">
        <v>8</v>
      </c>
      <c r="C38" s="121">
        <v>17</v>
      </c>
      <c r="D38" s="42">
        <f>C38/$A$14</f>
        <v>20</v>
      </c>
      <c r="E38" s="42">
        <f>D38*$A$16</f>
        <v>15</v>
      </c>
      <c r="F38" s="91">
        <f t="shared" si="6"/>
        <v>66.66666666666667</v>
      </c>
      <c r="G38" s="91">
        <f t="shared" si="4"/>
        <v>15.770833333333334</v>
      </c>
      <c r="H38" s="170">
        <v>5000</v>
      </c>
      <c r="I38" s="92">
        <f>H38*$A$19</f>
        <v>1373.6263736263738</v>
      </c>
      <c r="J38" s="162">
        <f>$A$8/E38</f>
        <v>740.7407407407408</v>
      </c>
      <c r="K38" s="162">
        <f>$A$7/E38</f>
        <v>13333.333333333334</v>
      </c>
      <c r="L38" s="118">
        <f t="shared" si="7"/>
        <v>0.10302197802197803</v>
      </c>
      <c r="M38" s="162">
        <f>$A$6-B38</f>
        <v>10</v>
      </c>
      <c r="N38" s="118">
        <f>($A$6-B38)/$A$6</f>
        <v>0.5555555555555556</v>
      </c>
      <c r="O38" s="184" t="s">
        <v>309</v>
      </c>
      <c r="P38" s="121">
        <v>45</v>
      </c>
      <c r="Q38" s="42">
        <f>P38/$A$15</f>
        <v>60</v>
      </c>
      <c r="R38" s="42">
        <f>Q38*$A$16</f>
        <v>45</v>
      </c>
      <c r="S38" s="91">
        <f t="shared" si="8"/>
        <v>22.22222222222222</v>
      </c>
      <c r="T38" s="91">
        <f>100*3.785/1.6/R38</f>
        <v>5.256944444444445</v>
      </c>
      <c r="U38" s="51">
        <f t="shared" si="9"/>
        <v>0.3333333333333333</v>
      </c>
      <c r="V38" s="170">
        <v>3000</v>
      </c>
      <c r="W38" s="92">
        <f>V38*$A$19</f>
        <v>824.1758241758242</v>
      </c>
      <c r="X38" s="162">
        <f>$A$8/R38</f>
        <v>246.9135802469136</v>
      </c>
      <c r="Y38" s="162">
        <f>$A$7/R38</f>
        <v>4444.444444444444</v>
      </c>
      <c r="Z38" s="196">
        <f t="shared" si="10"/>
        <v>0.18543956043956045</v>
      </c>
      <c r="AA38" s="169" t="s">
        <v>179</v>
      </c>
      <c r="AB38" s="180">
        <f>2010+B38</f>
        <v>2018</v>
      </c>
      <c r="AC38" s="42">
        <f>Q38*POWER(1+$A$17,B38)</f>
        <v>78.52130663500117</v>
      </c>
      <c r="AD38" s="42">
        <f>AC38*$A$16</f>
        <v>58.890979976250875</v>
      </c>
      <c r="AE38" s="162">
        <f t="shared" si="12"/>
        <v>188.6725457038059</v>
      </c>
      <c r="AF38" s="6">
        <f>M38</f>
        <v>10</v>
      </c>
      <c r="AG38" s="162">
        <f>J38-X38</f>
        <v>493.82716049382714</v>
      </c>
      <c r="AH38" s="162">
        <f>AG38*M38</f>
        <v>4938.271604938272</v>
      </c>
      <c r="AI38" s="182">
        <f>AE38-X38</f>
        <v>-58.2410345431077</v>
      </c>
      <c r="AJ38" s="182">
        <f>AI38*AF38</f>
        <v>-582.4103454310771</v>
      </c>
      <c r="AK38" s="162">
        <f>I38*N38</f>
        <v>763.1257631257632</v>
      </c>
      <c r="AL38" s="196">
        <f>AK38/(AH38+AJ38)</f>
        <v>0.17519514917059142</v>
      </c>
      <c r="AM38" s="186">
        <f>AH38+AJ38-AK38</f>
        <v>3592.7354963814314</v>
      </c>
      <c r="AN38" s="186">
        <f>AM38/M38</f>
        <v>359.27354963814315</v>
      </c>
      <c r="AO38" s="188">
        <f>AQ38*$A$13*$AO$24</f>
        <v>10778.206489144293</v>
      </c>
      <c r="AP38" s="188">
        <f>AO38/M38</f>
        <v>1077.8206489144293</v>
      </c>
      <c r="AQ38" s="187">
        <f t="shared" si="13"/>
        <v>31.97534591779474</v>
      </c>
      <c r="AR38" s="188">
        <f>AQ38*$AR$24</f>
        <v>959.2603775338422</v>
      </c>
      <c r="AS38" s="187">
        <f t="shared" si="11"/>
        <v>36.60130718954248</v>
      </c>
      <c r="AT38" s="187">
        <f>AM38/(M38*AS38)</f>
        <v>9.815866624042126</v>
      </c>
      <c r="AU38" s="206">
        <f>W38/(J38-X38)</f>
        <v>1.6689560439560442</v>
      </c>
      <c r="AV38" s="207">
        <f>AU38*$A$8</f>
        <v>18543.95604395605</v>
      </c>
      <c r="AW38" s="196">
        <f>AU38/M38</f>
        <v>0.1668956043956044</v>
      </c>
      <c r="AX38" s="118"/>
      <c r="AY38" s="118"/>
      <c r="AZ38" s="118"/>
      <c r="BA38" s="118"/>
      <c r="BB38" s="118"/>
    </row>
    <row r="39" spans="1:54" ht="12.75">
      <c r="A39" s="184" t="s">
        <v>176</v>
      </c>
      <c r="B39" s="121">
        <v>12</v>
      </c>
      <c r="C39" s="121">
        <v>17</v>
      </c>
      <c r="D39" s="42">
        <f>C39/$A$14</f>
        <v>20</v>
      </c>
      <c r="E39" s="42">
        <f>D39*$A$16</f>
        <v>15</v>
      </c>
      <c r="F39" s="91">
        <f t="shared" si="6"/>
        <v>66.66666666666667</v>
      </c>
      <c r="G39" s="91">
        <f t="shared" si="4"/>
        <v>15.770833333333334</v>
      </c>
      <c r="H39" s="170">
        <v>5000</v>
      </c>
      <c r="I39" s="92">
        <f>H39*$A$19</f>
        <v>1373.6263736263738</v>
      </c>
      <c r="J39" s="162">
        <f>$A$8/E39</f>
        <v>740.7407407407408</v>
      </c>
      <c r="K39" s="162">
        <f>$A$7/E39</f>
        <v>13333.333333333334</v>
      </c>
      <c r="L39" s="118">
        <f t="shared" si="7"/>
        <v>0.10302197802197803</v>
      </c>
      <c r="M39" s="162">
        <f>$A$6-B39</f>
        <v>6</v>
      </c>
      <c r="N39" s="118">
        <f>($A$6-B39)/$A$6</f>
        <v>0.3333333333333333</v>
      </c>
      <c r="O39" s="184" t="s">
        <v>309</v>
      </c>
      <c r="P39" s="121">
        <v>45</v>
      </c>
      <c r="Q39" s="42">
        <f>P39/$A$15</f>
        <v>60</v>
      </c>
      <c r="R39" s="42">
        <f>Q39*$A$16</f>
        <v>45</v>
      </c>
      <c r="S39" s="91">
        <f t="shared" si="8"/>
        <v>22.22222222222222</v>
      </c>
      <c r="T39" s="91">
        <f>100*3.785/1.6/R39</f>
        <v>5.256944444444445</v>
      </c>
      <c r="U39" s="51">
        <f t="shared" si="9"/>
        <v>0.3333333333333333</v>
      </c>
      <c r="V39" s="170">
        <v>3000</v>
      </c>
      <c r="W39" s="92">
        <f>V39*$A$19</f>
        <v>824.1758241758242</v>
      </c>
      <c r="X39" s="162">
        <f>$A$8/R39</f>
        <v>246.9135802469136</v>
      </c>
      <c r="Y39" s="162">
        <f>$A$7/R39</f>
        <v>4444.444444444444</v>
      </c>
      <c r="Z39" s="196">
        <f t="shared" si="10"/>
        <v>0.18543956043956045</v>
      </c>
      <c r="AA39" s="169" t="s">
        <v>179</v>
      </c>
      <c r="AB39" s="180">
        <f>2010+B39</f>
        <v>2022</v>
      </c>
      <c r="AC39" s="42">
        <f>Q39*POWER(1+$A$17,B39)</f>
        <v>89.82674271014267</v>
      </c>
      <c r="AD39" s="42">
        <f>AC39*$A$16</f>
        <v>67.37005703260701</v>
      </c>
      <c r="AE39" s="162">
        <f t="shared" si="12"/>
        <v>164.9265504663793</v>
      </c>
      <c r="AF39" s="6">
        <f>M39</f>
        <v>6</v>
      </c>
      <c r="AG39" s="162">
        <f>J39-X39</f>
        <v>493.82716049382714</v>
      </c>
      <c r="AH39" s="162">
        <f>AG39*M39</f>
        <v>2962.9629629629626</v>
      </c>
      <c r="AI39" s="182">
        <f>AE39-X39</f>
        <v>-81.9870297805343</v>
      </c>
      <c r="AJ39" s="182">
        <f>AI39*AF39</f>
        <v>-491.9221786832058</v>
      </c>
      <c r="AK39" s="162">
        <f>I39*N39</f>
        <v>457.8754578754579</v>
      </c>
      <c r="AL39" s="196">
        <f>AK39/(AH39+AJ39)</f>
        <v>0.18529660084461802</v>
      </c>
      <c r="AM39" s="186">
        <f>AH39+AJ39-AK39</f>
        <v>2013.1653264042989</v>
      </c>
      <c r="AN39" s="186">
        <f>AM39/M39</f>
        <v>335.5275544007165</v>
      </c>
      <c r="AO39" s="188">
        <f>AQ39*$A$13*$AO$24</f>
        <v>6039.495979212897</v>
      </c>
      <c r="AP39" s="188">
        <f>AO39/M39</f>
        <v>1006.5826632021494</v>
      </c>
      <c r="AQ39" s="187">
        <f t="shared" si="13"/>
        <v>17.91717140499826</v>
      </c>
      <c r="AR39" s="188">
        <f>AQ39*$AR$24</f>
        <v>537.5151421499478</v>
      </c>
      <c r="AS39" s="187">
        <f t="shared" si="11"/>
        <v>36.60130718954248</v>
      </c>
      <c r="AT39" s="187">
        <f>AM39/(M39*AS39)</f>
        <v>9.16709211130529</v>
      </c>
      <c r="AU39" s="206">
        <f>W39/(J39-X39)</f>
        <v>1.6689560439560442</v>
      </c>
      <c r="AV39" s="207">
        <f>AU39*$A$8</f>
        <v>18543.95604395605</v>
      </c>
      <c r="AW39" s="196">
        <f>AU39/M39</f>
        <v>0.2781593406593407</v>
      </c>
      <c r="AX39" s="118"/>
      <c r="AY39" s="118"/>
      <c r="AZ39" s="118"/>
      <c r="BA39" s="118"/>
      <c r="BB39" s="118"/>
    </row>
    <row r="40" spans="1:49" ht="12.75">
      <c r="A40" s="121"/>
      <c r="B40" s="121"/>
      <c r="C40" s="121"/>
      <c r="D40" s="43"/>
      <c r="E40" s="43"/>
      <c r="F40" s="91"/>
      <c r="G40" s="91"/>
      <c r="H40" s="170"/>
      <c r="L40" s="118"/>
      <c r="O40" s="121"/>
      <c r="P40" s="203" t="s">
        <v>310</v>
      </c>
      <c r="Q40" s="43"/>
      <c r="R40" s="43"/>
      <c r="S40" s="91"/>
      <c r="T40" s="43"/>
      <c r="U40" s="51"/>
      <c r="V40" s="170"/>
      <c r="Z40" s="196"/>
      <c r="AA40" s="170"/>
      <c r="AD40" s="43"/>
      <c r="AF40" s="6"/>
      <c r="AI40" s="92"/>
      <c r="AJ40" s="92"/>
      <c r="AL40" s="198"/>
      <c r="AM40" s="186"/>
      <c r="AN40" s="186"/>
      <c r="AO40" s="187"/>
      <c r="AP40" s="187"/>
      <c r="AQ40" s="187"/>
      <c r="AR40" s="187"/>
      <c r="AS40" s="187"/>
      <c r="AT40" s="187"/>
      <c r="AU40" s="199"/>
      <c r="AV40" s="199"/>
      <c r="AW40" s="199"/>
    </row>
    <row r="41" spans="1:54" ht="12.75">
      <c r="A41" s="184" t="s">
        <v>176</v>
      </c>
      <c r="B41" s="121">
        <v>4</v>
      </c>
      <c r="C41" s="121">
        <v>17</v>
      </c>
      <c r="D41" s="42">
        <f>C41/$A$14</f>
        <v>20</v>
      </c>
      <c r="E41" s="42">
        <f>D41*$A$16</f>
        <v>15</v>
      </c>
      <c r="F41" s="91">
        <f t="shared" si="6"/>
        <v>66.66666666666667</v>
      </c>
      <c r="G41" s="91">
        <f t="shared" si="4"/>
        <v>15.770833333333334</v>
      </c>
      <c r="H41" s="170">
        <v>5000</v>
      </c>
      <c r="I41" s="92">
        <f>H41*$A$19</f>
        <v>1373.6263736263738</v>
      </c>
      <c r="J41" s="162">
        <f>$A$8/E41</f>
        <v>740.7407407407408</v>
      </c>
      <c r="K41" s="162">
        <f>$A$7/E41</f>
        <v>13333.333333333334</v>
      </c>
      <c r="L41" s="118">
        <f t="shared" si="7"/>
        <v>0.10302197802197803</v>
      </c>
      <c r="M41" s="162">
        <f>$A$6-B41</f>
        <v>14</v>
      </c>
      <c r="N41" s="118">
        <f>($A$6-B41)/$A$6</f>
        <v>0.7777777777777778</v>
      </c>
      <c r="O41" s="184" t="s">
        <v>242</v>
      </c>
      <c r="P41" s="121">
        <v>90</v>
      </c>
      <c r="Q41" s="42">
        <f>P41/$A$15</f>
        <v>120</v>
      </c>
      <c r="R41" s="42">
        <f>Q41*$A$16</f>
        <v>90</v>
      </c>
      <c r="S41" s="91">
        <f t="shared" si="8"/>
        <v>11.11111111111111</v>
      </c>
      <c r="T41" s="91">
        <f>100*3.785/1.6/R41</f>
        <v>2.6284722222222223</v>
      </c>
      <c r="U41" s="51">
        <f t="shared" si="9"/>
        <v>0.16666666666666666</v>
      </c>
      <c r="V41" s="170">
        <v>3500</v>
      </c>
      <c r="W41" s="92">
        <f>V41*$A$19</f>
        <v>961.5384615384617</v>
      </c>
      <c r="X41" s="162">
        <f>$A$8/R41</f>
        <v>123.4567901234568</v>
      </c>
      <c r="Y41" s="162">
        <f>$A$7/R41</f>
        <v>2222.222222222222</v>
      </c>
      <c r="Z41" s="196">
        <f t="shared" si="10"/>
        <v>0.43269230769230776</v>
      </c>
      <c r="AA41" s="169" t="s">
        <v>241</v>
      </c>
      <c r="AB41" s="180">
        <f>2010+B41</f>
        <v>2014</v>
      </c>
      <c r="AC41" s="42">
        <f>Q41*POWER(1+$A$17,B41)</f>
        <v>137.2775057771676</v>
      </c>
      <c r="AD41" s="42">
        <f>AC41*$A$16</f>
        <v>102.9581293328757</v>
      </c>
      <c r="AE41" s="162">
        <f t="shared" si="12"/>
        <v>107.91873534519637</v>
      </c>
      <c r="AF41" s="6">
        <f>M41</f>
        <v>14</v>
      </c>
      <c r="AG41" s="162">
        <f>J41-X41</f>
        <v>617.283950617284</v>
      </c>
      <c r="AH41" s="162">
        <f>AG41*M41</f>
        <v>8641.975308641975</v>
      </c>
      <c r="AI41" s="182">
        <f>AE41-X41</f>
        <v>-15.538054778260431</v>
      </c>
      <c r="AJ41" s="182">
        <f>AI41*AF41</f>
        <v>-217.53276689564603</v>
      </c>
      <c r="AK41" s="162">
        <f>I41*N41</f>
        <v>1068.3760683760686</v>
      </c>
      <c r="AL41" s="196">
        <f>AK41/(AH41+AJ41)</f>
        <v>0.1268186070570079</v>
      </c>
      <c r="AM41" s="186">
        <f>AH41+AJ41-AK41</f>
        <v>7356.0664733702615</v>
      </c>
      <c r="AN41" s="186">
        <f>AM41/M41</f>
        <v>525.4333195264472</v>
      </c>
      <c r="AO41" s="188">
        <f>AQ41*$A$13*$AO$24</f>
        <v>22068.19942011078</v>
      </c>
      <c r="AP41" s="188">
        <f>AO41/M41</f>
        <v>1576.2999585793416</v>
      </c>
      <c r="AQ41" s="187">
        <f t="shared" si="13"/>
        <v>65.46899161299532</v>
      </c>
      <c r="AR41" s="188">
        <f>AQ41*$AR$24</f>
        <v>1964.0697483898598</v>
      </c>
      <c r="AS41" s="187">
        <f t="shared" si="11"/>
        <v>47.71241830065359</v>
      </c>
      <c r="AT41" s="187">
        <f>AM41/(M41*AS41)</f>
        <v>11.012506559937869</v>
      </c>
      <c r="AU41" s="206">
        <f>W41/(J41-X41)</f>
        <v>1.557692307692308</v>
      </c>
      <c r="AV41" s="207">
        <f>AU41*$A$8</f>
        <v>17307.692307692312</v>
      </c>
      <c r="AW41" s="196">
        <f>AU41/M41</f>
        <v>0.11126373626373628</v>
      </c>
      <c r="AX41" s="118"/>
      <c r="AY41" s="118"/>
      <c r="AZ41" s="118"/>
      <c r="BA41" s="118"/>
      <c r="BB41" s="118"/>
    </row>
    <row r="42" spans="1:54" ht="12.75">
      <c r="A42" s="184" t="s">
        <v>176</v>
      </c>
      <c r="B42" s="121">
        <v>8</v>
      </c>
      <c r="C42" s="121">
        <v>17</v>
      </c>
      <c r="D42" s="42">
        <f>C42/$A$14</f>
        <v>20</v>
      </c>
      <c r="E42" s="42">
        <f>D42*$A$16</f>
        <v>15</v>
      </c>
      <c r="F42" s="91">
        <f t="shared" si="6"/>
        <v>66.66666666666667</v>
      </c>
      <c r="G42" s="91">
        <f t="shared" si="4"/>
        <v>15.770833333333334</v>
      </c>
      <c r="H42" s="170">
        <v>5000</v>
      </c>
      <c r="I42" s="92">
        <f>H42*$A$19</f>
        <v>1373.6263736263738</v>
      </c>
      <c r="J42" s="162">
        <f>$A$8/E42</f>
        <v>740.7407407407408</v>
      </c>
      <c r="K42" s="162">
        <f>$A$7/E42</f>
        <v>13333.333333333334</v>
      </c>
      <c r="L42" s="118">
        <f t="shared" si="7"/>
        <v>0.10302197802197803</v>
      </c>
      <c r="M42" s="162">
        <f>$A$6-B42</f>
        <v>10</v>
      </c>
      <c r="N42" s="118">
        <f>($A$6-B42)/$A$6</f>
        <v>0.5555555555555556</v>
      </c>
      <c r="O42" s="184" t="s">
        <v>242</v>
      </c>
      <c r="P42" s="121">
        <v>90</v>
      </c>
      <c r="Q42" s="42">
        <f>P42/$A$15</f>
        <v>120</v>
      </c>
      <c r="R42" s="42">
        <f>Q42*$A$16</f>
        <v>90</v>
      </c>
      <c r="S42" s="91">
        <f t="shared" si="8"/>
        <v>11.11111111111111</v>
      </c>
      <c r="T42" s="91">
        <f>100*3.785/1.6/R42</f>
        <v>2.6284722222222223</v>
      </c>
      <c r="U42" s="51">
        <f t="shared" si="9"/>
        <v>0.16666666666666666</v>
      </c>
      <c r="V42" s="170">
        <v>3500</v>
      </c>
      <c r="W42" s="92">
        <f>V42*$A$19</f>
        <v>961.5384615384617</v>
      </c>
      <c r="X42" s="162">
        <f>$A$8/R42</f>
        <v>123.4567901234568</v>
      </c>
      <c r="Y42" s="162">
        <f>$A$7/R42</f>
        <v>2222.222222222222</v>
      </c>
      <c r="Z42" s="196">
        <f t="shared" si="10"/>
        <v>0.43269230769230776</v>
      </c>
      <c r="AA42" s="169" t="s">
        <v>241</v>
      </c>
      <c r="AB42" s="180">
        <f>2010+B42</f>
        <v>2018</v>
      </c>
      <c r="AC42" s="42">
        <f>Q42*POWER(1+$A$17,B42)</f>
        <v>157.04261327000233</v>
      </c>
      <c r="AD42" s="42">
        <f>AC42*$A$16</f>
        <v>117.78195995250175</v>
      </c>
      <c r="AE42" s="162">
        <f t="shared" si="12"/>
        <v>94.33627285190295</v>
      </c>
      <c r="AF42" s="6">
        <f>M42</f>
        <v>10</v>
      </c>
      <c r="AG42" s="162">
        <f>J42-X42</f>
        <v>617.283950617284</v>
      </c>
      <c r="AH42" s="162">
        <f>AG42*M42</f>
        <v>6172.83950617284</v>
      </c>
      <c r="AI42" s="182">
        <f>AE42-X42</f>
        <v>-29.12051727155385</v>
      </c>
      <c r="AJ42" s="182">
        <f>AI42*AF42</f>
        <v>-291.20517271553854</v>
      </c>
      <c r="AK42" s="162">
        <f>I42*N42</f>
        <v>763.1257631257632</v>
      </c>
      <c r="AL42" s="196">
        <f>AK42/(AH42+AJ42)</f>
        <v>0.12974723008276307</v>
      </c>
      <c r="AM42" s="186">
        <f>AH42+AJ42-AK42</f>
        <v>5118.508570331538</v>
      </c>
      <c r="AN42" s="186">
        <f>AM42/M42</f>
        <v>511.85085703315383</v>
      </c>
      <c r="AO42" s="188">
        <f>AQ42*$A$13*$AO$24</f>
        <v>15355.525710994614</v>
      </c>
      <c r="AP42" s="188">
        <f>AO42/M42</f>
        <v>1535.5525710994614</v>
      </c>
      <c r="AQ42" s="187">
        <f t="shared" si="13"/>
        <v>45.55472627595069</v>
      </c>
      <c r="AR42" s="188">
        <f>AQ42*$AR$24</f>
        <v>1366.6417882785208</v>
      </c>
      <c r="AS42" s="187">
        <f t="shared" si="11"/>
        <v>47.71241830065359</v>
      </c>
      <c r="AT42" s="187">
        <f>AM42/(M42*AS42)</f>
        <v>10.727833030968842</v>
      </c>
      <c r="AU42" s="206">
        <f>W42/(J42-X42)</f>
        <v>1.557692307692308</v>
      </c>
      <c r="AV42" s="207">
        <f>AU42*$A$8</f>
        <v>17307.692307692312</v>
      </c>
      <c r="AW42" s="196">
        <f>AU42/M42</f>
        <v>0.1557692307692308</v>
      </c>
      <c r="AX42" s="118"/>
      <c r="AY42" s="118"/>
      <c r="AZ42" s="118"/>
      <c r="BA42" s="118"/>
      <c r="BB42" s="118"/>
    </row>
    <row r="43" spans="1:54" ht="12.75">
      <c r="A43" s="184" t="s">
        <v>176</v>
      </c>
      <c r="B43" s="121">
        <v>12</v>
      </c>
      <c r="C43" s="121">
        <v>17</v>
      </c>
      <c r="D43" s="42">
        <f>C43/$A$14</f>
        <v>20</v>
      </c>
      <c r="E43" s="42">
        <f>D43*$A$16</f>
        <v>15</v>
      </c>
      <c r="F43" s="91">
        <f t="shared" si="6"/>
        <v>66.66666666666667</v>
      </c>
      <c r="G43" s="91">
        <f t="shared" si="4"/>
        <v>15.770833333333334</v>
      </c>
      <c r="H43" s="170">
        <v>5000</v>
      </c>
      <c r="I43" s="92">
        <f>H43*$A$19</f>
        <v>1373.6263736263738</v>
      </c>
      <c r="J43" s="162">
        <f>$A$8/E43</f>
        <v>740.7407407407408</v>
      </c>
      <c r="K43" s="162">
        <f>$A$7/E43</f>
        <v>13333.333333333334</v>
      </c>
      <c r="L43" s="118">
        <f t="shared" si="7"/>
        <v>0.10302197802197803</v>
      </c>
      <c r="M43" s="162">
        <f>$A$6-B43</f>
        <v>6</v>
      </c>
      <c r="N43" s="118">
        <f>($A$6-B43)/$A$6</f>
        <v>0.3333333333333333</v>
      </c>
      <c r="O43" s="184" t="s">
        <v>242</v>
      </c>
      <c r="P43" s="121">
        <v>90</v>
      </c>
      <c r="Q43" s="42">
        <f>P43/$A$15</f>
        <v>120</v>
      </c>
      <c r="R43" s="42">
        <f>Q43*$A$16</f>
        <v>90</v>
      </c>
      <c r="S43" s="91">
        <f t="shared" si="8"/>
        <v>11.11111111111111</v>
      </c>
      <c r="T43" s="91">
        <f>100*3.785/1.6/R43</f>
        <v>2.6284722222222223</v>
      </c>
      <c r="U43" s="51">
        <f t="shared" si="9"/>
        <v>0.16666666666666666</v>
      </c>
      <c r="V43" s="170">
        <v>3500</v>
      </c>
      <c r="W43" s="92">
        <f>V43*$A$19</f>
        <v>961.5384615384617</v>
      </c>
      <c r="X43" s="162">
        <f>$A$8/R43</f>
        <v>123.4567901234568</v>
      </c>
      <c r="Y43" s="162">
        <f>$A$7/R43</f>
        <v>2222.222222222222</v>
      </c>
      <c r="Z43" s="196">
        <f t="shared" si="10"/>
        <v>0.43269230769230776</v>
      </c>
      <c r="AA43" s="169" t="s">
        <v>241</v>
      </c>
      <c r="AB43" s="180">
        <f>2010+B43</f>
        <v>2022</v>
      </c>
      <c r="AC43" s="42">
        <f>Q43*POWER(1+$A$17,B43)</f>
        <v>179.65348542028534</v>
      </c>
      <c r="AD43" s="42">
        <f>AC43*$A$16</f>
        <v>134.74011406521402</v>
      </c>
      <c r="AE43" s="162">
        <f t="shared" si="12"/>
        <v>82.46327523318965</v>
      </c>
      <c r="AF43" s="6">
        <f>M43</f>
        <v>6</v>
      </c>
      <c r="AG43" s="162">
        <f>J43-X43</f>
        <v>617.283950617284</v>
      </c>
      <c r="AH43" s="162">
        <f>AG43*M43</f>
        <v>3703.7037037037035</v>
      </c>
      <c r="AI43" s="182">
        <f>AE43-X43</f>
        <v>-40.99351489026715</v>
      </c>
      <c r="AJ43" s="182">
        <f>AI43*AF43</f>
        <v>-245.9610893416029</v>
      </c>
      <c r="AK43" s="162">
        <f>I43*N43</f>
        <v>457.8754578754579</v>
      </c>
      <c r="AL43" s="196">
        <f>AK43/(AH43+AJ43)</f>
        <v>0.13242034151808282</v>
      </c>
      <c r="AM43" s="186">
        <f>AH43+AJ43-AK43</f>
        <v>2999.8671564866427</v>
      </c>
      <c r="AN43" s="186">
        <f>AM43/M43</f>
        <v>499.97785941444045</v>
      </c>
      <c r="AO43" s="188">
        <f>AQ43*$A$13*$AO$24</f>
        <v>8999.601469459929</v>
      </c>
      <c r="AP43" s="188">
        <f>AO43/M43</f>
        <v>1499.9335782433216</v>
      </c>
      <c r="AQ43" s="187">
        <f t="shared" si="13"/>
        <v>26.698817692731122</v>
      </c>
      <c r="AR43" s="188">
        <f>AQ43*$AR$24</f>
        <v>800.9645307819337</v>
      </c>
      <c r="AS43" s="187">
        <f t="shared" si="11"/>
        <v>47.71241830065359</v>
      </c>
      <c r="AT43" s="187">
        <f>AM43/(M43*AS43)</f>
        <v>10.478988012384848</v>
      </c>
      <c r="AU43" s="206">
        <f>W43/(J43-X43)</f>
        <v>1.557692307692308</v>
      </c>
      <c r="AV43" s="207">
        <f>AU43*$A$8</f>
        <v>17307.692307692312</v>
      </c>
      <c r="AW43" s="196">
        <f>AU43/M43</f>
        <v>0.25961538461538464</v>
      </c>
      <c r="AX43" s="118"/>
      <c r="AY43" s="118"/>
      <c r="AZ43" s="118"/>
      <c r="BA43" s="118"/>
      <c r="BB43" s="118"/>
    </row>
    <row r="44" spans="1:49" ht="12.75">
      <c r="A44" s="121"/>
      <c r="B44" s="121"/>
      <c r="C44" s="121"/>
      <c r="D44" s="43"/>
      <c r="E44" s="43"/>
      <c r="F44" s="91"/>
      <c r="G44" s="91"/>
      <c r="H44" s="170"/>
      <c r="L44" s="118"/>
      <c r="O44" s="121"/>
      <c r="P44" s="121"/>
      <c r="Q44" s="43"/>
      <c r="R44" s="43"/>
      <c r="S44" s="91"/>
      <c r="T44" s="43"/>
      <c r="U44" s="51"/>
      <c r="V44" s="170"/>
      <c r="Z44" s="196"/>
      <c r="AA44" s="170"/>
      <c r="AD44" s="43"/>
      <c r="AF44" s="6"/>
      <c r="AI44" s="92"/>
      <c r="AJ44" s="92"/>
      <c r="AL44" s="198"/>
      <c r="AM44" s="186"/>
      <c r="AN44" s="186"/>
      <c r="AO44" s="187"/>
      <c r="AP44" s="187"/>
      <c r="AQ44" s="187"/>
      <c r="AR44" s="187"/>
      <c r="AS44" s="187"/>
      <c r="AT44" s="187"/>
      <c r="AU44" s="199"/>
      <c r="AV44" s="199"/>
      <c r="AW44" s="199"/>
    </row>
    <row r="45" spans="1:54" ht="12.75">
      <c r="A45" s="184" t="s">
        <v>176</v>
      </c>
      <c r="B45" s="121">
        <v>4</v>
      </c>
      <c r="C45" s="121">
        <v>17</v>
      </c>
      <c r="D45" s="42">
        <f>C45/$A$14</f>
        <v>20</v>
      </c>
      <c r="E45" s="42">
        <f>D45*$A$16</f>
        <v>15</v>
      </c>
      <c r="F45" s="91">
        <f t="shared" si="6"/>
        <v>66.66666666666667</v>
      </c>
      <c r="G45" s="91">
        <f t="shared" si="4"/>
        <v>15.770833333333334</v>
      </c>
      <c r="H45" s="170">
        <v>5000</v>
      </c>
      <c r="I45" s="92">
        <f>H45*$A$19</f>
        <v>1373.6263736263738</v>
      </c>
      <c r="J45" s="162">
        <f>$A$8/E45</f>
        <v>740.7407407407408</v>
      </c>
      <c r="K45" s="162">
        <f>$A$7/E45</f>
        <v>13333.333333333334</v>
      </c>
      <c r="L45" s="118">
        <f t="shared" si="7"/>
        <v>0.10302197802197803</v>
      </c>
      <c r="M45" s="162">
        <f>$A$6-B45</f>
        <v>14</v>
      </c>
      <c r="N45" s="118">
        <f>($A$6-B45)/$A$6</f>
        <v>0.7777777777777778</v>
      </c>
      <c r="O45" s="184" t="s">
        <v>243</v>
      </c>
      <c r="P45" s="185">
        <f>100*16/11</f>
        <v>145.45454545454547</v>
      </c>
      <c r="Q45" s="42">
        <f>P45/$A$15</f>
        <v>193.93939393939397</v>
      </c>
      <c r="R45" s="42">
        <f>Q45*$A$16</f>
        <v>145.45454545454547</v>
      </c>
      <c r="S45" s="91">
        <f t="shared" si="8"/>
        <v>6.874999999999999</v>
      </c>
      <c r="T45" s="91">
        <f>100*3.785/1.6/R45</f>
        <v>1.6263671874999999</v>
      </c>
      <c r="U45" s="51">
        <f t="shared" si="9"/>
        <v>0.103125</v>
      </c>
      <c r="V45" s="170">
        <v>4000</v>
      </c>
      <c r="W45" s="92">
        <f>V45*$A$19</f>
        <v>1098.901098901099</v>
      </c>
      <c r="X45" s="162">
        <f>$A$8/R45</f>
        <v>76.38888888888889</v>
      </c>
      <c r="Y45" s="162">
        <f>$A$7/R45</f>
        <v>1374.9999999999998</v>
      </c>
      <c r="Z45" s="196">
        <f t="shared" si="10"/>
        <v>0.7992007992007993</v>
      </c>
      <c r="AA45" s="169" t="s">
        <v>241</v>
      </c>
      <c r="AB45" s="180">
        <f>2010+B45</f>
        <v>2014</v>
      </c>
      <c r="AC45" s="42">
        <f>Q45*POWER(1+$A$17,B45)</f>
        <v>221.86263559946278</v>
      </c>
      <c r="AD45" s="42">
        <f>AC45*$A$16</f>
        <v>166.39697669959708</v>
      </c>
      <c r="AE45" s="162">
        <f t="shared" si="12"/>
        <v>66.77471749484026</v>
      </c>
      <c r="AF45" s="6">
        <f>M45</f>
        <v>14</v>
      </c>
      <c r="AG45" s="162">
        <f>J45-X45</f>
        <v>664.3518518518518</v>
      </c>
      <c r="AH45" s="162">
        <f>AG45*M45</f>
        <v>9300.925925925925</v>
      </c>
      <c r="AI45" s="182">
        <f>AE45-X45</f>
        <v>-9.614171394048626</v>
      </c>
      <c r="AJ45" s="182">
        <f>AI45*AF45</f>
        <v>-134.59839951668076</v>
      </c>
      <c r="AK45" s="162">
        <f>I45*N45</f>
        <v>1068.3760683760686</v>
      </c>
      <c r="AL45" s="196">
        <f>AK45/(AH45+AJ45)</f>
        <v>0.11655442872818522</v>
      </c>
      <c r="AM45" s="186">
        <f>AH45+AJ45-AK45</f>
        <v>8097.951458033176</v>
      </c>
      <c r="AN45" s="186">
        <f>AM45/M45</f>
        <v>578.4251041452269</v>
      </c>
      <c r="AO45" s="188">
        <f>AQ45*$A$13*$AO$24</f>
        <v>24293.85437409953</v>
      </c>
      <c r="AP45" s="188">
        <f>AO45/M45</f>
        <v>1735.2753124356807</v>
      </c>
      <c r="AQ45" s="187">
        <f t="shared" si="13"/>
        <v>72.07176797649528</v>
      </c>
      <c r="AR45" s="188">
        <f>AQ45*$AR$24</f>
        <v>2162.1530392948584</v>
      </c>
      <c r="AS45" s="187">
        <f t="shared" si="11"/>
        <v>51.9485294117647</v>
      </c>
      <c r="AT45" s="187">
        <f>AM45/(M45*AS45)</f>
        <v>11.134580914897503</v>
      </c>
      <c r="AU45" s="206">
        <f>W45/(J45-X45)</f>
        <v>1.6540950338859748</v>
      </c>
      <c r="AV45" s="207">
        <f>AU45*$A$8</f>
        <v>18378.833709844166</v>
      </c>
      <c r="AW45" s="196">
        <f>AU45/M45</f>
        <v>0.11814964527756963</v>
      </c>
      <c r="AX45" s="118"/>
      <c r="AY45" s="118"/>
      <c r="AZ45" s="118"/>
      <c r="BA45" s="118"/>
      <c r="BB45" s="118"/>
    </row>
    <row r="46" spans="1:54" ht="12.75">
      <c r="A46" s="184" t="s">
        <v>176</v>
      </c>
      <c r="B46" s="121">
        <v>8</v>
      </c>
      <c r="C46" s="121">
        <v>17</v>
      </c>
      <c r="D46" s="42">
        <f>C46/$A$14</f>
        <v>20</v>
      </c>
      <c r="E46" s="42">
        <f>D46*$A$16</f>
        <v>15</v>
      </c>
      <c r="F46" s="91">
        <f t="shared" si="6"/>
        <v>66.66666666666667</v>
      </c>
      <c r="G46" s="91">
        <f t="shared" si="4"/>
        <v>15.770833333333334</v>
      </c>
      <c r="H46" s="170">
        <v>5000</v>
      </c>
      <c r="I46" s="92">
        <f>H46*$A$19</f>
        <v>1373.6263736263738</v>
      </c>
      <c r="J46" s="162">
        <f>$A$8/E46</f>
        <v>740.7407407407408</v>
      </c>
      <c r="K46" s="162">
        <f>$A$7/E46</f>
        <v>13333.333333333334</v>
      </c>
      <c r="L46" s="118">
        <f t="shared" si="7"/>
        <v>0.10302197802197803</v>
      </c>
      <c r="M46" s="162">
        <f>$A$6-B46</f>
        <v>10</v>
      </c>
      <c r="N46" s="118">
        <f>($A$6-B46)/$A$6</f>
        <v>0.5555555555555556</v>
      </c>
      <c r="O46" s="184" t="s">
        <v>243</v>
      </c>
      <c r="P46" s="185">
        <f>100*16/11</f>
        <v>145.45454545454547</v>
      </c>
      <c r="Q46" s="42">
        <f>P46/$A$15</f>
        <v>193.93939393939397</v>
      </c>
      <c r="R46" s="42">
        <f>Q46*$A$16</f>
        <v>145.45454545454547</v>
      </c>
      <c r="S46" s="91">
        <f t="shared" si="8"/>
        <v>6.874999999999999</v>
      </c>
      <c r="T46" s="91">
        <f>100*3.785/1.6/R46</f>
        <v>1.6263671874999999</v>
      </c>
      <c r="U46" s="51">
        <f t="shared" si="9"/>
        <v>0.103125</v>
      </c>
      <c r="V46" s="170">
        <v>4000</v>
      </c>
      <c r="W46" s="92">
        <f>V46*$A$19</f>
        <v>1098.901098901099</v>
      </c>
      <c r="X46" s="162">
        <f>$A$8/R46</f>
        <v>76.38888888888889</v>
      </c>
      <c r="Y46" s="162">
        <f>$A$7/R46</f>
        <v>1374.9999999999998</v>
      </c>
      <c r="Z46" s="196">
        <f t="shared" si="10"/>
        <v>0.7992007992007993</v>
      </c>
      <c r="AA46" s="169" t="s">
        <v>241</v>
      </c>
      <c r="AB46" s="180">
        <f>2010+B46</f>
        <v>2018</v>
      </c>
      <c r="AC46" s="42">
        <f>Q46*POWER(1+$A$17,B46)</f>
        <v>253.80624366869068</v>
      </c>
      <c r="AD46" s="42">
        <f>AC46*$A$16</f>
        <v>190.354682751518</v>
      </c>
      <c r="AE46" s="162">
        <f t="shared" si="12"/>
        <v>58.370568827114944</v>
      </c>
      <c r="AF46" s="6">
        <f>M46</f>
        <v>10</v>
      </c>
      <c r="AG46" s="162">
        <f>J46-X46</f>
        <v>664.3518518518518</v>
      </c>
      <c r="AH46" s="162">
        <f>AG46*M46</f>
        <v>6643.518518518518</v>
      </c>
      <c r="AI46" s="182">
        <f>AE46-X46</f>
        <v>-18.01832006177394</v>
      </c>
      <c r="AJ46" s="182">
        <f>AI46*AF46</f>
        <v>-180.18320061773943</v>
      </c>
      <c r="AK46" s="162">
        <f>I46*N46</f>
        <v>763.1257631257632</v>
      </c>
      <c r="AL46" s="196">
        <f>AK46/(AH46+AJ46)</f>
        <v>0.11806996319875575</v>
      </c>
      <c r="AM46" s="186">
        <f>AH46+AJ46-AK46</f>
        <v>5700.209554775016</v>
      </c>
      <c r="AN46" s="186">
        <f>AM46/M46</f>
        <v>570.0209554775016</v>
      </c>
      <c r="AO46" s="188">
        <f>AQ46*$A$13*$AO$24</f>
        <v>17100.62866432505</v>
      </c>
      <c r="AP46" s="188">
        <f>AO46/M46</f>
        <v>1710.062866432505</v>
      </c>
      <c r="AQ46" s="187">
        <f t="shared" si="13"/>
        <v>50.73186503749764</v>
      </c>
      <c r="AR46" s="188">
        <f>AQ46*$AR$24</f>
        <v>1521.9559511249292</v>
      </c>
      <c r="AS46" s="187">
        <f t="shared" si="11"/>
        <v>51.9485294117647</v>
      </c>
      <c r="AT46" s="187">
        <f>AM46/(M46*AS46)</f>
        <v>10.972802539977383</v>
      </c>
      <c r="AU46" s="206">
        <f>W46/(J46-X46)</f>
        <v>1.6540950338859748</v>
      </c>
      <c r="AV46" s="207">
        <f>AU46*$A$8</f>
        <v>18378.833709844166</v>
      </c>
      <c r="AW46" s="196">
        <f>AU46/M46</f>
        <v>0.16540950338859747</v>
      </c>
      <c r="AX46" s="118"/>
      <c r="AY46" s="118"/>
      <c r="AZ46" s="118"/>
      <c r="BA46" s="118"/>
      <c r="BB46" s="118"/>
    </row>
    <row r="47" spans="1:54" ht="12.75">
      <c r="A47" s="184" t="s">
        <v>176</v>
      </c>
      <c r="B47" s="121">
        <v>12</v>
      </c>
      <c r="C47" s="121">
        <v>17</v>
      </c>
      <c r="D47" s="42">
        <f>C47/$A$14</f>
        <v>20</v>
      </c>
      <c r="E47" s="42">
        <f>D47*$A$16</f>
        <v>15</v>
      </c>
      <c r="F47" s="91">
        <f t="shared" si="6"/>
        <v>66.66666666666667</v>
      </c>
      <c r="G47" s="91">
        <f t="shared" si="4"/>
        <v>15.770833333333334</v>
      </c>
      <c r="H47" s="170">
        <v>5000</v>
      </c>
      <c r="I47" s="92">
        <f>H47*$A$19</f>
        <v>1373.6263736263738</v>
      </c>
      <c r="J47" s="162">
        <f>$A$8/E47</f>
        <v>740.7407407407408</v>
      </c>
      <c r="K47" s="162">
        <f>$A$7/E47</f>
        <v>13333.333333333334</v>
      </c>
      <c r="L47" s="118">
        <f t="shared" si="7"/>
        <v>0.10302197802197803</v>
      </c>
      <c r="M47" s="162">
        <f>$A$6-B47</f>
        <v>6</v>
      </c>
      <c r="N47" s="118">
        <f>($A$6-B47)/$A$6</f>
        <v>0.3333333333333333</v>
      </c>
      <c r="O47" s="184" t="s">
        <v>243</v>
      </c>
      <c r="P47" s="185">
        <f>100*16/11</f>
        <v>145.45454545454547</v>
      </c>
      <c r="Q47" s="42">
        <f>P47/$A$15</f>
        <v>193.93939393939397</v>
      </c>
      <c r="R47" s="42">
        <f>Q47*$A$16</f>
        <v>145.45454545454547</v>
      </c>
      <c r="S47" s="91">
        <f t="shared" si="8"/>
        <v>6.874999999999999</v>
      </c>
      <c r="T47" s="91">
        <f>100*3.785/1.6/R47</f>
        <v>1.6263671874999999</v>
      </c>
      <c r="U47" s="51">
        <f t="shared" si="9"/>
        <v>0.103125</v>
      </c>
      <c r="V47" s="170">
        <v>4000</v>
      </c>
      <c r="W47" s="92">
        <f>V47*$A$19</f>
        <v>1098.901098901099</v>
      </c>
      <c r="X47" s="162">
        <f>$A$8/R47</f>
        <v>76.38888888888889</v>
      </c>
      <c r="Y47" s="162">
        <f>$A$7/R47</f>
        <v>1374.9999999999998</v>
      </c>
      <c r="Z47" s="196">
        <f t="shared" si="10"/>
        <v>0.7992007992007993</v>
      </c>
      <c r="AA47" s="169" t="s">
        <v>241</v>
      </c>
      <c r="AB47" s="180">
        <f>2010+B47</f>
        <v>2022</v>
      </c>
      <c r="AC47" s="42">
        <f>Q47*POWER(1+$A$17,B47)</f>
        <v>290.3490673459157</v>
      </c>
      <c r="AD47" s="42">
        <f>AC47*$A$16</f>
        <v>217.7618005094368</v>
      </c>
      <c r="AE47" s="162">
        <f t="shared" si="12"/>
        <v>51.0241515505361</v>
      </c>
      <c r="AF47" s="6">
        <f>M47</f>
        <v>6</v>
      </c>
      <c r="AG47" s="162">
        <f>J47-X47</f>
        <v>664.3518518518518</v>
      </c>
      <c r="AH47" s="162">
        <f>AG47*M47</f>
        <v>3986.1111111111113</v>
      </c>
      <c r="AI47" s="182">
        <f>AE47-X47</f>
        <v>-25.36473733835279</v>
      </c>
      <c r="AJ47" s="182">
        <f>AI47*AF47</f>
        <v>-152.18842403011672</v>
      </c>
      <c r="AK47" s="162">
        <f>I47*N47</f>
        <v>457.8754578754579</v>
      </c>
      <c r="AL47" s="196">
        <f>AK47/(AH47+AJ47)</f>
        <v>0.11942741031746448</v>
      </c>
      <c r="AM47" s="186">
        <f>AH47+AJ47-AK47</f>
        <v>3376.0472292055365</v>
      </c>
      <c r="AN47" s="186">
        <f>AM47/M47</f>
        <v>562.6745382009227</v>
      </c>
      <c r="AO47" s="188">
        <f>AQ47*$A$13*$AO$24</f>
        <v>10128.14168761661</v>
      </c>
      <c r="AP47" s="188">
        <f>AO47/M47</f>
        <v>1688.0236146027682</v>
      </c>
      <c r="AQ47" s="187">
        <f t="shared" si="13"/>
        <v>30.046820339929276</v>
      </c>
      <c r="AR47" s="188">
        <f>AQ47*$AR$24</f>
        <v>901.4046101978782</v>
      </c>
      <c r="AS47" s="187">
        <f t="shared" si="11"/>
        <v>51.9485294117647</v>
      </c>
      <c r="AT47" s="187">
        <f>AM47/(M47*AS47)</f>
        <v>10.831385307193983</v>
      </c>
      <c r="AU47" s="206">
        <f>W47/(J47-X47)</f>
        <v>1.6540950338859748</v>
      </c>
      <c r="AV47" s="207">
        <f>AU47*$A$8</f>
        <v>18378.833709844166</v>
      </c>
      <c r="AW47" s="196">
        <f>AU47/M47</f>
        <v>0.27568250564766245</v>
      </c>
      <c r="AX47" s="118"/>
      <c r="AY47" s="118"/>
      <c r="AZ47" s="118"/>
      <c r="BA47" s="118"/>
      <c r="BB47" s="118"/>
    </row>
    <row r="48" spans="1:49" ht="12.75">
      <c r="A48" s="121"/>
      <c r="B48" s="121"/>
      <c r="C48" s="121"/>
      <c r="D48" s="43"/>
      <c r="E48" s="43"/>
      <c r="F48" s="91"/>
      <c r="G48" s="91"/>
      <c r="H48" s="170"/>
      <c r="L48" s="118"/>
      <c r="O48" s="121"/>
      <c r="P48" s="121"/>
      <c r="Q48" s="43"/>
      <c r="R48" s="43"/>
      <c r="S48" s="91"/>
      <c r="T48" s="43"/>
      <c r="U48" s="51"/>
      <c r="V48" s="170"/>
      <c r="Z48" s="196"/>
      <c r="AA48" s="170"/>
      <c r="AD48" s="43"/>
      <c r="AF48" s="6"/>
      <c r="AI48" s="92"/>
      <c r="AJ48" s="92"/>
      <c r="AL48" s="198"/>
      <c r="AM48" s="186"/>
      <c r="AN48" s="186"/>
      <c r="AO48" s="187"/>
      <c r="AP48" s="187"/>
      <c r="AQ48" s="187"/>
      <c r="AR48" s="187"/>
      <c r="AS48" s="187"/>
      <c r="AT48" s="187"/>
      <c r="AU48" s="199"/>
      <c r="AV48" s="199"/>
      <c r="AW48" s="199"/>
    </row>
    <row r="49" spans="1:54" ht="12.75">
      <c r="A49" s="184" t="s">
        <v>246</v>
      </c>
      <c r="B49" s="121">
        <v>4</v>
      </c>
      <c r="C49" s="121">
        <v>22</v>
      </c>
      <c r="D49" s="42">
        <f>C49/$A$14</f>
        <v>25.88235294117647</v>
      </c>
      <c r="E49" s="42">
        <f>D49*$A$16</f>
        <v>19.411764705882355</v>
      </c>
      <c r="F49" s="91">
        <f t="shared" si="6"/>
        <v>51.51515151515151</v>
      </c>
      <c r="G49" s="91">
        <f t="shared" si="4"/>
        <v>12.18655303030303</v>
      </c>
      <c r="H49" s="170">
        <v>3000</v>
      </c>
      <c r="I49" s="92">
        <f>H49*$A$19</f>
        <v>824.1758241758242</v>
      </c>
      <c r="J49" s="162">
        <f>$A$8/E49</f>
        <v>572.3905723905723</v>
      </c>
      <c r="K49" s="162">
        <f>$A$7/E49</f>
        <v>10303.030303030302</v>
      </c>
      <c r="L49" s="118">
        <f t="shared" si="7"/>
        <v>0.07999353587588882</v>
      </c>
      <c r="M49" s="162">
        <f>$A$6-B49</f>
        <v>14</v>
      </c>
      <c r="N49" s="118">
        <f>($A$6-B49)/$A$6</f>
        <v>0.7777777777777778</v>
      </c>
      <c r="O49" s="184" t="s">
        <v>246</v>
      </c>
      <c r="P49" s="121">
        <v>30</v>
      </c>
      <c r="Q49" s="42">
        <f>P49/$A$15</f>
        <v>40</v>
      </c>
      <c r="R49" s="42">
        <f>Q49*$A$16</f>
        <v>30</v>
      </c>
      <c r="S49" s="91">
        <f t="shared" si="8"/>
        <v>33.333333333333336</v>
      </c>
      <c r="T49" s="91">
        <f>100*3.785/1.6/R49</f>
        <v>7.885416666666667</v>
      </c>
      <c r="U49" s="51">
        <f t="shared" si="9"/>
        <v>0.6470588235294118</v>
      </c>
      <c r="V49" s="170">
        <v>3000</v>
      </c>
      <c r="W49" s="92">
        <f>V49*$A$19</f>
        <v>824.1758241758242</v>
      </c>
      <c r="X49" s="162">
        <f>$A$8/R49</f>
        <v>370.3703703703704</v>
      </c>
      <c r="Y49" s="162">
        <f>$A$7/R49</f>
        <v>6666.666666666667</v>
      </c>
      <c r="Z49" s="196">
        <f t="shared" si="10"/>
        <v>0.12362637362637363</v>
      </c>
      <c r="AA49" s="169" t="s">
        <v>179</v>
      </c>
      <c r="AB49" s="180">
        <f>2010+B49</f>
        <v>2014</v>
      </c>
      <c r="AC49" s="42">
        <f>Q49*POWER(1+$A$17,B49)</f>
        <v>45.759168592389194</v>
      </c>
      <c r="AD49" s="42">
        <f>AC49*$A$16</f>
        <v>34.3193764442919</v>
      </c>
      <c r="AE49" s="162">
        <f t="shared" si="12"/>
        <v>323.7562060355891</v>
      </c>
      <c r="AF49" s="6">
        <f>M49</f>
        <v>14</v>
      </c>
      <c r="AG49" s="162">
        <f>J49-X49</f>
        <v>202.0202020202019</v>
      </c>
      <c r="AH49" s="162">
        <f>AG49*M49</f>
        <v>2828.282828282827</v>
      </c>
      <c r="AI49" s="182">
        <f>AE49-X49</f>
        <v>-46.614164334781265</v>
      </c>
      <c r="AJ49" s="182">
        <f>AI49*AF49</f>
        <v>-652.5983006869377</v>
      </c>
      <c r="AK49" s="162">
        <f>I49*N49</f>
        <v>641.0256410256411</v>
      </c>
      <c r="AL49" s="196">
        <f>AK49/(AH49+AJ49)</f>
        <v>0.294631704594585</v>
      </c>
      <c r="AM49" s="186">
        <f>AH49+AJ49-AK49</f>
        <v>1534.658886570248</v>
      </c>
      <c r="AN49" s="186">
        <f>AM49/M49</f>
        <v>109.61849189787485</v>
      </c>
      <c r="AO49" s="188">
        <f>AQ49*$A$13*$AO$24</f>
        <v>4603.976659710744</v>
      </c>
      <c r="AP49" s="188">
        <f>AO49/M49</f>
        <v>328.85547569362456</v>
      </c>
      <c r="AQ49" s="187">
        <f t="shared" si="13"/>
        <v>13.658464090475206</v>
      </c>
      <c r="AR49" s="188">
        <f>AQ49*$AR$24</f>
        <v>409.7539227142562</v>
      </c>
      <c r="AS49" s="187">
        <f t="shared" si="11"/>
        <v>12.121212121212123</v>
      </c>
      <c r="AT49" s="187">
        <f>AM49/(M49*AS49)</f>
        <v>9.043525581574674</v>
      </c>
      <c r="AU49" s="206">
        <f>W49/(J49-X49)</f>
        <v>4.079670329670332</v>
      </c>
      <c r="AV49" s="207">
        <f>AU49*$A$8</f>
        <v>45329.670329670356</v>
      </c>
      <c r="AW49" s="196">
        <f>AU49/M49</f>
        <v>0.29140502354788084</v>
      </c>
      <c r="AX49" s="118"/>
      <c r="AY49" s="118"/>
      <c r="AZ49" s="118"/>
      <c r="BA49" s="118"/>
      <c r="BB49" s="118"/>
    </row>
    <row r="50" spans="1:54" ht="12.75">
      <c r="A50" s="184" t="s">
        <v>246</v>
      </c>
      <c r="B50" s="121">
        <v>8</v>
      </c>
      <c r="C50" s="121">
        <v>22</v>
      </c>
      <c r="D50" s="42">
        <f>C50/$A$14</f>
        <v>25.88235294117647</v>
      </c>
      <c r="E50" s="42">
        <f>D50*$A$16</f>
        <v>19.411764705882355</v>
      </c>
      <c r="F50" s="91">
        <f t="shared" si="6"/>
        <v>51.51515151515151</v>
      </c>
      <c r="G50" s="91">
        <f t="shared" si="4"/>
        <v>12.18655303030303</v>
      </c>
      <c r="H50" s="170">
        <v>3000</v>
      </c>
      <c r="I50" s="92">
        <f>H50*$A$19</f>
        <v>824.1758241758242</v>
      </c>
      <c r="J50" s="162">
        <f>$A$8/E50</f>
        <v>572.3905723905723</v>
      </c>
      <c r="K50" s="162">
        <f>$A$7/E50</f>
        <v>10303.030303030302</v>
      </c>
      <c r="L50" s="118">
        <f t="shared" si="7"/>
        <v>0.07999353587588882</v>
      </c>
      <c r="M50" s="162">
        <f>$A$6-B50</f>
        <v>10</v>
      </c>
      <c r="N50" s="118">
        <f>($A$6-B50)/$A$6</f>
        <v>0.5555555555555556</v>
      </c>
      <c r="O50" s="184" t="s">
        <v>246</v>
      </c>
      <c r="P50" s="121">
        <v>30</v>
      </c>
      <c r="Q50" s="42">
        <f>P50/$A$15</f>
        <v>40</v>
      </c>
      <c r="R50" s="42">
        <f>Q50*$A$16</f>
        <v>30</v>
      </c>
      <c r="S50" s="91">
        <f t="shared" si="8"/>
        <v>33.333333333333336</v>
      </c>
      <c r="T50" s="91">
        <f>100*3.785/1.6/R50</f>
        <v>7.885416666666667</v>
      </c>
      <c r="U50" s="51">
        <f t="shared" si="9"/>
        <v>0.6470588235294118</v>
      </c>
      <c r="V50" s="170">
        <v>3000</v>
      </c>
      <c r="W50" s="92">
        <f>V50*$A$19</f>
        <v>824.1758241758242</v>
      </c>
      <c r="X50" s="162">
        <f>$A$8/R50</f>
        <v>370.3703703703704</v>
      </c>
      <c r="Y50" s="162">
        <f>$A$7/R50</f>
        <v>6666.666666666667</v>
      </c>
      <c r="Z50" s="196">
        <f t="shared" si="10"/>
        <v>0.12362637362637363</v>
      </c>
      <c r="AA50" s="169" t="s">
        <v>179</v>
      </c>
      <c r="AB50" s="180">
        <f>2010+B50</f>
        <v>2018</v>
      </c>
      <c r="AC50" s="42">
        <f>Q50*POWER(1+$A$17,B50)</f>
        <v>52.34753775666745</v>
      </c>
      <c r="AD50" s="42">
        <f>AC50*$A$16</f>
        <v>39.260653317500584</v>
      </c>
      <c r="AE50" s="162">
        <f t="shared" si="12"/>
        <v>283.00881855570884</v>
      </c>
      <c r="AF50" s="6">
        <f>M50</f>
        <v>10</v>
      </c>
      <c r="AG50" s="162">
        <f>J50-X50</f>
        <v>202.0202020202019</v>
      </c>
      <c r="AH50" s="162">
        <f>AG50*M50</f>
        <v>2020.202020202019</v>
      </c>
      <c r="AI50" s="182">
        <f>AE50-X50</f>
        <v>-87.36155181466154</v>
      </c>
      <c r="AJ50" s="182">
        <f>AI50*AF50</f>
        <v>-873.6155181466154</v>
      </c>
      <c r="AK50" s="162">
        <f>I50*N50</f>
        <v>457.8754578754579</v>
      </c>
      <c r="AL50" s="196">
        <f>AK50/(AH50+AJ50)</f>
        <v>0.39933791044518435</v>
      </c>
      <c r="AM50" s="186">
        <f>AH50+AJ50-AK50</f>
        <v>688.7110441799457</v>
      </c>
      <c r="AN50" s="186">
        <f>AM50/M50</f>
        <v>68.87110441799457</v>
      </c>
      <c r="AO50" s="188">
        <f>AQ50*$A$13*$AO$24</f>
        <v>2066.133132539837</v>
      </c>
      <c r="AP50" s="188">
        <f>AO50/M50</f>
        <v>206.61331325398368</v>
      </c>
      <c r="AQ50" s="187">
        <f t="shared" si="13"/>
        <v>6.129528293201517</v>
      </c>
      <c r="AR50" s="188">
        <f>AQ50*$AR$24</f>
        <v>183.8858487960455</v>
      </c>
      <c r="AS50" s="187">
        <f t="shared" si="11"/>
        <v>12.121212121212123</v>
      </c>
      <c r="AT50" s="187">
        <f>AM50/(M50*AS50)</f>
        <v>5.681866114484551</v>
      </c>
      <c r="AU50" s="206">
        <f>W50/(J50-X50)</f>
        <v>4.079670329670332</v>
      </c>
      <c r="AV50" s="207">
        <f>AU50*$A$8</f>
        <v>45329.670329670356</v>
      </c>
      <c r="AW50" s="196">
        <f>AU50/M50</f>
        <v>0.4079670329670332</v>
      </c>
      <c r="AX50" s="118"/>
      <c r="AY50" s="118"/>
      <c r="AZ50" s="118"/>
      <c r="BA50" s="118"/>
      <c r="BB50" s="118"/>
    </row>
    <row r="51" spans="1:54" ht="12.75">
      <c r="A51" s="184" t="s">
        <v>246</v>
      </c>
      <c r="B51" s="121">
        <v>12</v>
      </c>
      <c r="C51" s="121">
        <v>22</v>
      </c>
      <c r="D51" s="42">
        <f>C51/$A$14</f>
        <v>25.88235294117647</v>
      </c>
      <c r="E51" s="42">
        <f>D51*$A$16</f>
        <v>19.411764705882355</v>
      </c>
      <c r="F51" s="91">
        <f t="shared" si="6"/>
        <v>51.51515151515151</v>
      </c>
      <c r="G51" s="91">
        <f t="shared" si="4"/>
        <v>12.18655303030303</v>
      </c>
      <c r="H51" s="170">
        <v>3000</v>
      </c>
      <c r="I51" s="92">
        <f>H51*$A$19</f>
        <v>824.1758241758242</v>
      </c>
      <c r="J51" s="162">
        <f>$A$8/E51</f>
        <v>572.3905723905723</v>
      </c>
      <c r="K51" s="162">
        <f>$A$7/E51</f>
        <v>10303.030303030302</v>
      </c>
      <c r="L51" s="118">
        <f t="shared" si="7"/>
        <v>0.07999353587588882</v>
      </c>
      <c r="M51" s="162">
        <f>$A$6-B51</f>
        <v>6</v>
      </c>
      <c r="N51" s="118">
        <f>($A$6-B51)/$A$6</f>
        <v>0.3333333333333333</v>
      </c>
      <c r="O51" s="184" t="s">
        <v>246</v>
      </c>
      <c r="P51" s="121">
        <v>30</v>
      </c>
      <c r="Q51" s="42">
        <f>P51/$A$15</f>
        <v>40</v>
      </c>
      <c r="R51" s="42">
        <f>Q51*$A$16</f>
        <v>30</v>
      </c>
      <c r="S51" s="91">
        <f t="shared" si="8"/>
        <v>33.333333333333336</v>
      </c>
      <c r="T51" s="91">
        <f>100*3.785/1.6/R51</f>
        <v>7.885416666666667</v>
      </c>
      <c r="U51" s="51">
        <f t="shared" si="9"/>
        <v>0.6470588235294118</v>
      </c>
      <c r="V51" s="170">
        <v>3000</v>
      </c>
      <c r="W51" s="92">
        <f>V51*$A$19</f>
        <v>824.1758241758242</v>
      </c>
      <c r="X51" s="162">
        <f>$A$8/R51</f>
        <v>370.3703703703704</v>
      </c>
      <c r="Y51" s="162">
        <f>$A$7/R51</f>
        <v>6666.666666666667</v>
      </c>
      <c r="Z51" s="196">
        <f t="shared" si="10"/>
        <v>0.12362637362637363</v>
      </c>
      <c r="AA51" s="169" t="s">
        <v>179</v>
      </c>
      <c r="AB51" s="180">
        <f>2010+B51</f>
        <v>2022</v>
      </c>
      <c r="AC51" s="42">
        <f>Q51*POWER(1+$A$17,B51)</f>
        <v>59.88449514009511</v>
      </c>
      <c r="AD51" s="42">
        <f>AC51*$A$16</f>
        <v>44.913371355071334</v>
      </c>
      <c r="AE51" s="162">
        <f t="shared" si="12"/>
        <v>247.38982569956897</v>
      </c>
      <c r="AF51" s="6">
        <f>M51</f>
        <v>6</v>
      </c>
      <c r="AG51" s="162">
        <f>J51-X51</f>
        <v>202.0202020202019</v>
      </c>
      <c r="AH51" s="162">
        <f>AG51*M51</f>
        <v>1212.1212121212116</v>
      </c>
      <c r="AI51" s="182">
        <f>AE51-X51</f>
        <v>-122.98054467080141</v>
      </c>
      <c r="AJ51" s="182">
        <f>AI51*AF51</f>
        <v>-737.8832680248084</v>
      </c>
      <c r="AK51" s="162">
        <f>I51*N51</f>
        <v>274.72527472527474</v>
      </c>
      <c r="AL51" s="196">
        <f>AK51/(AH51+AJ51)</f>
        <v>0.5792983841660476</v>
      </c>
      <c r="AM51" s="186">
        <f>AH51+AJ51-AK51</f>
        <v>199.51266937112837</v>
      </c>
      <c r="AN51" s="186">
        <f>AM51/M51</f>
        <v>33.252111561854726</v>
      </c>
      <c r="AO51" s="188">
        <f>AQ51*$A$13*$AO$24</f>
        <v>598.5380081133851</v>
      </c>
      <c r="AP51" s="188">
        <f>AO51/M51</f>
        <v>99.75633468556418</v>
      </c>
      <c r="AQ51" s="187">
        <f t="shared" si="13"/>
        <v>1.7756627574030426</v>
      </c>
      <c r="AR51" s="188">
        <f>AQ51*$AR$24</f>
        <v>53.269882722091275</v>
      </c>
      <c r="AS51" s="187">
        <f t="shared" si="11"/>
        <v>12.121212121212123</v>
      </c>
      <c r="AT51" s="187">
        <f>AM51/(M51*AS51)</f>
        <v>2.743299203853015</v>
      </c>
      <c r="AU51" s="206">
        <f>W51/(J51-X51)</f>
        <v>4.079670329670332</v>
      </c>
      <c r="AV51" s="207">
        <f>AU51*$A$8</f>
        <v>45329.670329670356</v>
      </c>
      <c r="AW51" s="196">
        <f>AU51/M51</f>
        <v>0.6799450549450553</v>
      </c>
      <c r="AX51" s="118"/>
      <c r="AY51" s="118"/>
      <c r="AZ51" s="118"/>
      <c r="BA51" s="118"/>
      <c r="BB51" s="118"/>
    </row>
    <row r="52" spans="1:49" ht="12.75">
      <c r="A52" s="121"/>
      <c r="B52" s="121"/>
      <c r="C52" s="121"/>
      <c r="D52" s="43"/>
      <c r="E52" s="43"/>
      <c r="F52" s="91"/>
      <c r="G52" s="91"/>
      <c r="H52" s="170"/>
      <c r="L52" s="118"/>
      <c r="O52" s="121"/>
      <c r="P52" s="121"/>
      <c r="Q52" s="43"/>
      <c r="R52" s="43"/>
      <c r="S52" s="91"/>
      <c r="T52" s="43"/>
      <c r="U52" s="51"/>
      <c r="V52" s="170"/>
      <c r="Z52" s="196"/>
      <c r="AA52" s="170"/>
      <c r="AD52" s="43"/>
      <c r="AF52" s="6"/>
      <c r="AI52" s="92"/>
      <c r="AJ52" s="92"/>
      <c r="AL52" s="198"/>
      <c r="AM52" s="186"/>
      <c r="AN52" s="186"/>
      <c r="AO52" s="187"/>
      <c r="AP52" s="187"/>
      <c r="AQ52" s="187"/>
      <c r="AR52" s="187"/>
      <c r="AS52" s="187"/>
      <c r="AT52" s="187"/>
      <c r="AU52" s="199"/>
      <c r="AV52" s="199"/>
      <c r="AW52" s="199"/>
    </row>
    <row r="53" spans="1:54" ht="12.75">
      <c r="A53" s="184" t="s">
        <v>246</v>
      </c>
      <c r="B53" s="121">
        <v>4</v>
      </c>
      <c r="C53" s="121">
        <v>22</v>
      </c>
      <c r="D53" s="42">
        <f>C53/$A$14</f>
        <v>25.88235294117647</v>
      </c>
      <c r="E53" s="42">
        <f>D53*$A$16</f>
        <v>19.411764705882355</v>
      </c>
      <c r="F53" s="91">
        <f t="shared" si="6"/>
        <v>51.51515151515151</v>
      </c>
      <c r="G53" s="91">
        <f t="shared" si="4"/>
        <v>12.18655303030303</v>
      </c>
      <c r="H53" s="170">
        <v>3000</v>
      </c>
      <c r="I53" s="92">
        <f>H53*$A$19</f>
        <v>824.1758241758242</v>
      </c>
      <c r="J53" s="162">
        <f>$A$8/E53</f>
        <v>572.3905723905723</v>
      </c>
      <c r="K53" s="162">
        <f>$A$7/E53</f>
        <v>10303.030303030302</v>
      </c>
      <c r="L53" s="118">
        <f t="shared" si="7"/>
        <v>0.07999353587588882</v>
      </c>
      <c r="M53" s="162">
        <f>$A$6-B53</f>
        <v>14</v>
      </c>
      <c r="N53" s="118">
        <f>($A$6-B53)/$A$6</f>
        <v>0.7777777777777778</v>
      </c>
      <c r="O53" s="184" t="s">
        <v>309</v>
      </c>
      <c r="P53" s="121">
        <v>45</v>
      </c>
      <c r="Q53" s="42">
        <f>P53/$A$15</f>
        <v>60</v>
      </c>
      <c r="R53" s="42">
        <f>Q53*$A$16</f>
        <v>45</v>
      </c>
      <c r="S53" s="91">
        <f t="shared" si="8"/>
        <v>22.22222222222222</v>
      </c>
      <c r="T53" s="91">
        <f>100*3.785/1.6/R53</f>
        <v>5.256944444444445</v>
      </c>
      <c r="U53" s="51">
        <f t="shared" si="9"/>
        <v>0.43137254901960786</v>
      </c>
      <c r="V53" s="170">
        <v>3000</v>
      </c>
      <c r="W53" s="92">
        <f>V53*$A$19</f>
        <v>824.1758241758242</v>
      </c>
      <c r="X53" s="162">
        <f>$A$8/R53</f>
        <v>246.9135802469136</v>
      </c>
      <c r="Y53" s="162">
        <f>$A$7/R53</f>
        <v>4444.444444444444</v>
      </c>
      <c r="Z53" s="196">
        <f t="shared" si="10"/>
        <v>0.18543956043956045</v>
      </c>
      <c r="AA53" s="169" t="s">
        <v>179</v>
      </c>
      <c r="AB53" s="180">
        <f>2010+B53</f>
        <v>2014</v>
      </c>
      <c r="AC53" s="42">
        <f>Q53*POWER(1+$A$17,B53)</f>
        <v>68.6387528885838</v>
      </c>
      <c r="AD53" s="42">
        <f>AC53*$A$16</f>
        <v>51.47906466643785</v>
      </c>
      <c r="AE53" s="162">
        <f t="shared" si="12"/>
        <v>215.83747069039273</v>
      </c>
      <c r="AF53" s="6">
        <f>M53</f>
        <v>14</v>
      </c>
      <c r="AG53" s="162">
        <f>J53-X53</f>
        <v>325.47699214365866</v>
      </c>
      <c r="AH53" s="162">
        <f>AG53*M53</f>
        <v>4556.677890011221</v>
      </c>
      <c r="AI53" s="182">
        <f>AE53-X53</f>
        <v>-31.076109556520862</v>
      </c>
      <c r="AJ53" s="182">
        <f>AI53*AF53</f>
        <v>-435.06553379129207</v>
      </c>
      <c r="AK53" s="162">
        <f>I53*N53</f>
        <v>641.0256410256411</v>
      </c>
      <c r="AL53" s="196">
        <f>AK53/(AH53+AJ53)</f>
        <v>0.155527882203252</v>
      </c>
      <c r="AM53" s="186">
        <f>AH53+AJ53-AK53</f>
        <v>3480.586715194288</v>
      </c>
      <c r="AN53" s="186">
        <f>AM53/M53</f>
        <v>248.613336799592</v>
      </c>
      <c r="AO53" s="188">
        <f>AQ53*$A$13*$AO$24</f>
        <v>10441.760145582866</v>
      </c>
      <c r="AP53" s="188">
        <f>AO53/M53</f>
        <v>745.8400103987761</v>
      </c>
      <c r="AQ53" s="187">
        <f t="shared" si="13"/>
        <v>30.977221765229167</v>
      </c>
      <c r="AR53" s="188">
        <f>AQ53*$AR$24</f>
        <v>929.316652956875</v>
      </c>
      <c r="AS53" s="187">
        <f t="shared" si="11"/>
        <v>23.232323232323232</v>
      </c>
      <c r="AT53" s="187">
        <f>AM53/(M53*AS53)</f>
        <v>10.701182757895483</v>
      </c>
      <c r="AU53" s="206">
        <f>W53/(J53-X53)</f>
        <v>2.532209170140206</v>
      </c>
      <c r="AV53" s="207">
        <f>AU53*$A$8</f>
        <v>28135.65744600229</v>
      </c>
      <c r="AW53" s="196">
        <f>AU53/M53</f>
        <v>0.18087208358144327</v>
      </c>
      <c r="AX53" s="118"/>
      <c r="AY53" s="118"/>
      <c r="AZ53" s="118"/>
      <c r="BA53" s="118"/>
      <c r="BB53" s="118"/>
    </row>
    <row r="54" spans="1:54" ht="12.75">
      <c r="A54" s="184" t="s">
        <v>246</v>
      </c>
      <c r="B54" s="121">
        <v>8</v>
      </c>
      <c r="C54" s="121">
        <v>22</v>
      </c>
      <c r="D54" s="42">
        <f>C54/$A$14</f>
        <v>25.88235294117647</v>
      </c>
      <c r="E54" s="42">
        <f>D54*$A$16</f>
        <v>19.411764705882355</v>
      </c>
      <c r="F54" s="91">
        <f t="shared" si="6"/>
        <v>51.51515151515151</v>
      </c>
      <c r="G54" s="91">
        <f t="shared" si="4"/>
        <v>12.18655303030303</v>
      </c>
      <c r="H54" s="170">
        <v>3000</v>
      </c>
      <c r="I54" s="92">
        <f>H54*$A$19</f>
        <v>824.1758241758242</v>
      </c>
      <c r="J54" s="162">
        <f>$A$8/E54</f>
        <v>572.3905723905723</v>
      </c>
      <c r="K54" s="162">
        <f>$A$7/E54</f>
        <v>10303.030303030302</v>
      </c>
      <c r="L54" s="118">
        <f t="shared" si="7"/>
        <v>0.07999353587588882</v>
      </c>
      <c r="M54" s="162">
        <f>$A$6-B54</f>
        <v>10</v>
      </c>
      <c r="N54" s="118">
        <f>($A$6-B54)/$A$6</f>
        <v>0.5555555555555556</v>
      </c>
      <c r="O54" s="184" t="s">
        <v>309</v>
      </c>
      <c r="P54" s="121">
        <v>45</v>
      </c>
      <c r="Q54" s="42">
        <f>P54/$A$15</f>
        <v>60</v>
      </c>
      <c r="R54" s="42">
        <f>Q54*$A$16</f>
        <v>45</v>
      </c>
      <c r="S54" s="91">
        <f t="shared" si="8"/>
        <v>22.22222222222222</v>
      </c>
      <c r="T54" s="91">
        <f>100*3.785/1.6/R54</f>
        <v>5.256944444444445</v>
      </c>
      <c r="U54" s="51">
        <f t="shared" si="9"/>
        <v>0.43137254901960786</v>
      </c>
      <c r="V54" s="170">
        <v>3000</v>
      </c>
      <c r="W54" s="92">
        <f>V54*$A$19</f>
        <v>824.1758241758242</v>
      </c>
      <c r="X54" s="162">
        <f>$A$8/R54</f>
        <v>246.9135802469136</v>
      </c>
      <c r="Y54" s="162">
        <f>$A$7/R54</f>
        <v>4444.444444444444</v>
      </c>
      <c r="Z54" s="196">
        <f t="shared" si="10"/>
        <v>0.18543956043956045</v>
      </c>
      <c r="AA54" s="169" t="s">
        <v>179</v>
      </c>
      <c r="AB54" s="180">
        <f>2010+B54</f>
        <v>2018</v>
      </c>
      <c r="AC54" s="42">
        <f>Q54*POWER(1+$A$17,B54)</f>
        <v>78.52130663500117</v>
      </c>
      <c r="AD54" s="42">
        <f>AC54*$A$16</f>
        <v>58.890979976250875</v>
      </c>
      <c r="AE54" s="162">
        <f t="shared" si="12"/>
        <v>188.6725457038059</v>
      </c>
      <c r="AF54" s="6">
        <f>M54</f>
        <v>10</v>
      </c>
      <c r="AG54" s="162">
        <f>J54-X54</f>
        <v>325.47699214365866</v>
      </c>
      <c r="AH54" s="162">
        <f>AG54*M54</f>
        <v>3254.7699214365866</v>
      </c>
      <c r="AI54" s="182">
        <f>AE54-X54</f>
        <v>-58.2410345431077</v>
      </c>
      <c r="AJ54" s="182">
        <f>AI54*AF54</f>
        <v>-582.4103454310771</v>
      </c>
      <c r="AK54" s="162">
        <f>I54*N54</f>
        <v>457.8754578754579</v>
      </c>
      <c r="AL54" s="196">
        <f>AK54/(AH54+AJ54)</f>
        <v>0.1713375183439438</v>
      </c>
      <c r="AM54" s="186">
        <f>AH54+AJ54-AK54</f>
        <v>2214.4841181300517</v>
      </c>
      <c r="AN54" s="186">
        <f>AM54/M54</f>
        <v>221.44841181300518</v>
      </c>
      <c r="AO54" s="188">
        <f>AQ54*$A$13*$AO$24</f>
        <v>6643.452354390155</v>
      </c>
      <c r="AP54" s="188">
        <f>AO54/M54</f>
        <v>664.3452354390155</v>
      </c>
      <c r="AQ54" s="187">
        <f t="shared" si="13"/>
        <v>19.70890865135746</v>
      </c>
      <c r="AR54" s="188">
        <f>AQ54*$AR$24</f>
        <v>591.2672595407239</v>
      </c>
      <c r="AS54" s="187">
        <f t="shared" si="11"/>
        <v>23.232323232323232</v>
      </c>
      <c r="AT54" s="187">
        <f>AM54/(M54*AS54)</f>
        <v>9.531909899777178</v>
      </c>
      <c r="AU54" s="206">
        <f>W54/(J54-X54)</f>
        <v>2.532209170140206</v>
      </c>
      <c r="AV54" s="207">
        <f>AU54*$A$8</f>
        <v>28135.65744600229</v>
      </c>
      <c r="AW54" s="196">
        <f>AU54/M54</f>
        <v>0.2532209170140206</v>
      </c>
      <c r="AX54" s="118"/>
      <c r="AY54" s="118"/>
      <c r="AZ54" s="118"/>
      <c r="BA54" s="118"/>
      <c r="BB54" s="118"/>
    </row>
    <row r="55" spans="1:54" ht="12.75">
      <c r="A55" s="184" t="s">
        <v>246</v>
      </c>
      <c r="B55" s="121">
        <v>12</v>
      </c>
      <c r="C55" s="121">
        <v>22</v>
      </c>
      <c r="D55" s="42">
        <f>C55/$A$14</f>
        <v>25.88235294117647</v>
      </c>
      <c r="E55" s="42">
        <f>D55*$A$16</f>
        <v>19.411764705882355</v>
      </c>
      <c r="F55" s="91">
        <f t="shared" si="6"/>
        <v>51.51515151515151</v>
      </c>
      <c r="G55" s="91">
        <f t="shared" si="4"/>
        <v>12.18655303030303</v>
      </c>
      <c r="H55" s="170">
        <v>3000</v>
      </c>
      <c r="I55" s="92">
        <f>H55*$A$19</f>
        <v>824.1758241758242</v>
      </c>
      <c r="J55" s="162">
        <f>$A$8/E55</f>
        <v>572.3905723905723</v>
      </c>
      <c r="K55" s="162">
        <f>$A$7/E55</f>
        <v>10303.030303030302</v>
      </c>
      <c r="L55" s="118">
        <f t="shared" si="7"/>
        <v>0.07999353587588882</v>
      </c>
      <c r="M55" s="162">
        <f>$A$6-B55</f>
        <v>6</v>
      </c>
      <c r="N55" s="118">
        <f>($A$6-B55)/$A$6</f>
        <v>0.3333333333333333</v>
      </c>
      <c r="O55" s="184" t="s">
        <v>309</v>
      </c>
      <c r="P55" s="121">
        <v>45</v>
      </c>
      <c r="Q55" s="42">
        <f>P55/$A$15</f>
        <v>60</v>
      </c>
      <c r="R55" s="42">
        <f>Q55*$A$16</f>
        <v>45</v>
      </c>
      <c r="S55" s="91">
        <f t="shared" si="8"/>
        <v>22.22222222222222</v>
      </c>
      <c r="T55" s="91">
        <f>100*3.785/1.6/R55</f>
        <v>5.256944444444445</v>
      </c>
      <c r="U55" s="51">
        <f t="shared" si="9"/>
        <v>0.43137254901960786</v>
      </c>
      <c r="V55" s="170">
        <v>3000</v>
      </c>
      <c r="W55" s="92">
        <f>V55*$A$19</f>
        <v>824.1758241758242</v>
      </c>
      <c r="X55" s="162">
        <f>$A$8/R55</f>
        <v>246.9135802469136</v>
      </c>
      <c r="Y55" s="162">
        <f>$A$7/R55</f>
        <v>4444.444444444444</v>
      </c>
      <c r="Z55" s="196">
        <f t="shared" si="10"/>
        <v>0.18543956043956045</v>
      </c>
      <c r="AA55" s="169" t="s">
        <v>179</v>
      </c>
      <c r="AB55" s="180">
        <f>2010+B55</f>
        <v>2022</v>
      </c>
      <c r="AC55" s="42">
        <f>Q55*POWER(1+$A$17,B55)</f>
        <v>89.82674271014267</v>
      </c>
      <c r="AD55" s="42">
        <f>AC55*$A$16</f>
        <v>67.37005703260701</v>
      </c>
      <c r="AE55" s="162">
        <f t="shared" si="12"/>
        <v>164.9265504663793</v>
      </c>
      <c r="AF55" s="6">
        <f>M55</f>
        <v>6</v>
      </c>
      <c r="AG55" s="162">
        <f>J55-X55</f>
        <v>325.47699214365866</v>
      </c>
      <c r="AH55" s="162">
        <f>AG55*M55</f>
        <v>1952.861952861952</v>
      </c>
      <c r="AI55" s="182">
        <f>AE55-X55</f>
        <v>-81.9870297805343</v>
      </c>
      <c r="AJ55" s="182">
        <f>AI55*AF55</f>
        <v>-491.9221786832058</v>
      </c>
      <c r="AK55" s="162">
        <f>I55*N55</f>
        <v>274.72527472527474</v>
      </c>
      <c r="AL55" s="196">
        <f>AK55/(AH55+AJ55)</f>
        <v>0.18804695414614817</v>
      </c>
      <c r="AM55" s="186">
        <f>AH55+AJ55-AK55</f>
        <v>1186.2144994534715</v>
      </c>
      <c r="AN55" s="186">
        <f>AM55/M55</f>
        <v>197.70241657557858</v>
      </c>
      <c r="AO55" s="188">
        <f>AQ55*$A$13*$AO$24</f>
        <v>3558.6434983604145</v>
      </c>
      <c r="AP55" s="188">
        <f>AO55/M55</f>
        <v>593.1072497267357</v>
      </c>
      <c r="AQ55" s="187">
        <f t="shared" si="13"/>
        <v>10.557309045135897</v>
      </c>
      <c r="AR55" s="188">
        <f>AQ55*$AR$24</f>
        <v>316.7192713540769</v>
      </c>
      <c r="AS55" s="187">
        <f t="shared" si="11"/>
        <v>23.232323232323232</v>
      </c>
      <c r="AT55" s="187">
        <f>AM55/(M55*AS55)</f>
        <v>8.509799669992297</v>
      </c>
      <c r="AU55" s="206">
        <f>W55/(J55-X55)</f>
        <v>2.532209170140206</v>
      </c>
      <c r="AV55" s="207">
        <f>AU55*$A$8</f>
        <v>28135.65744600229</v>
      </c>
      <c r="AW55" s="196">
        <f>AU55/M55</f>
        <v>0.4220348616900343</v>
      </c>
      <c r="AX55" s="118"/>
      <c r="AY55" s="118"/>
      <c r="AZ55" s="118"/>
      <c r="BA55" s="118"/>
      <c r="BB55" s="118"/>
    </row>
    <row r="56" spans="1:49" ht="12.75">
      <c r="A56" s="121"/>
      <c r="B56" s="121"/>
      <c r="C56" s="121"/>
      <c r="D56" s="43"/>
      <c r="E56" s="43"/>
      <c r="F56" s="91"/>
      <c r="G56" s="91"/>
      <c r="H56" s="170"/>
      <c r="L56" s="118"/>
      <c r="O56" s="121"/>
      <c r="P56" s="203" t="s">
        <v>310</v>
      </c>
      <c r="Q56" s="43"/>
      <c r="R56" s="43"/>
      <c r="S56" s="91"/>
      <c r="T56" s="43"/>
      <c r="U56" s="51"/>
      <c r="V56" s="170"/>
      <c r="Z56" s="196"/>
      <c r="AA56" s="170"/>
      <c r="AD56" s="43"/>
      <c r="AF56" s="6"/>
      <c r="AI56" s="92"/>
      <c r="AJ56" s="92"/>
      <c r="AL56" s="198"/>
      <c r="AM56" s="186"/>
      <c r="AN56" s="186"/>
      <c r="AO56" s="187"/>
      <c r="AP56" s="187"/>
      <c r="AQ56" s="187"/>
      <c r="AR56" s="187"/>
      <c r="AS56" s="187"/>
      <c r="AT56" s="187"/>
      <c r="AU56" s="199"/>
      <c r="AV56" s="199"/>
      <c r="AW56" s="199"/>
    </row>
    <row r="57" spans="1:54" ht="12.75">
      <c r="A57" s="184" t="s">
        <v>246</v>
      </c>
      <c r="B57" s="121">
        <v>4</v>
      </c>
      <c r="C57" s="121">
        <v>22</v>
      </c>
      <c r="D57" s="42">
        <f>C57/$A$14</f>
        <v>25.88235294117647</v>
      </c>
      <c r="E57" s="42">
        <f>D57*$A$16</f>
        <v>19.411764705882355</v>
      </c>
      <c r="F57" s="91">
        <f t="shared" si="6"/>
        <v>51.51515151515151</v>
      </c>
      <c r="G57" s="91">
        <f t="shared" si="4"/>
        <v>12.18655303030303</v>
      </c>
      <c r="H57" s="170">
        <v>3000</v>
      </c>
      <c r="I57" s="92">
        <f>H57*$A$19</f>
        <v>824.1758241758242</v>
      </c>
      <c r="J57" s="162">
        <f>$A$8/E57</f>
        <v>572.3905723905723</v>
      </c>
      <c r="K57" s="162">
        <f>$A$7/E57</f>
        <v>10303.030303030302</v>
      </c>
      <c r="L57" s="118">
        <f t="shared" si="7"/>
        <v>0.07999353587588882</v>
      </c>
      <c r="M57" s="162">
        <f>$A$6-B57</f>
        <v>14</v>
      </c>
      <c r="N57" s="118">
        <f>($A$6-B57)/$A$6</f>
        <v>0.7777777777777778</v>
      </c>
      <c r="O57" s="184" t="s">
        <v>242</v>
      </c>
      <c r="P57" s="121">
        <v>90</v>
      </c>
      <c r="Q57" s="42">
        <f>P57/$A$15</f>
        <v>120</v>
      </c>
      <c r="R57" s="42">
        <f>Q57*$A$16</f>
        <v>90</v>
      </c>
      <c r="S57" s="91">
        <f t="shared" si="8"/>
        <v>11.11111111111111</v>
      </c>
      <c r="T57" s="91">
        <f>100*3.785/1.6/R57</f>
        <v>2.6284722222222223</v>
      </c>
      <c r="U57" s="51">
        <f t="shared" si="9"/>
        <v>0.21568627450980393</v>
      </c>
      <c r="V57" s="170">
        <v>3500</v>
      </c>
      <c r="W57" s="92">
        <f>V57*$A$19</f>
        <v>961.5384615384617</v>
      </c>
      <c r="X57" s="162">
        <f>$A$8/R57</f>
        <v>123.4567901234568</v>
      </c>
      <c r="Y57" s="162">
        <f>$A$7/R57</f>
        <v>2222.222222222222</v>
      </c>
      <c r="Z57" s="196">
        <f t="shared" si="10"/>
        <v>0.43269230769230776</v>
      </c>
      <c r="AA57" s="169" t="s">
        <v>241</v>
      </c>
      <c r="AB57" s="180">
        <f>2010+B57</f>
        <v>2014</v>
      </c>
      <c r="AC57" s="42">
        <f>Q57*POWER(1+$A$17,B57)</f>
        <v>137.2775057771676</v>
      </c>
      <c r="AD57" s="42">
        <f>AC57*$A$16</f>
        <v>102.9581293328757</v>
      </c>
      <c r="AE57" s="162">
        <f t="shared" si="12"/>
        <v>107.91873534519637</v>
      </c>
      <c r="AF57" s="6">
        <f>M57</f>
        <v>14</v>
      </c>
      <c r="AG57" s="162">
        <f>J57-X57</f>
        <v>448.9337822671155</v>
      </c>
      <c r="AH57" s="162">
        <f>AG57*M57</f>
        <v>6285.072951739617</v>
      </c>
      <c r="AI57" s="182">
        <f>AE57-X57</f>
        <v>-15.538054778260431</v>
      </c>
      <c r="AJ57" s="182">
        <f>AI57*AF57</f>
        <v>-217.53276689564603</v>
      </c>
      <c r="AK57" s="162">
        <f>I57*N57</f>
        <v>641.0256410256411</v>
      </c>
      <c r="AL57" s="196">
        <f>AK57/(AH57+AJ57)</f>
        <v>0.10564835526377735</v>
      </c>
      <c r="AM57" s="186">
        <f>AH57+AJ57-AK57</f>
        <v>5426.51454381833</v>
      </c>
      <c r="AN57" s="186">
        <f>AM57/M57</f>
        <v>387.60818170130926</v>
      </c>
      <c r="AO57" s="188">
        <f>AQ57*$A$13*$AO$24</f>
        <v>16279.54363145499</v>
      </c>
      <c r="AP57" s="188">
        <f>AO57/M57</f>
        <v>1162.824545103928</v>
      </c>
      <c r="AQ57" s="187">
        <f t="shared" si="13"/>
        <v>48.295979439983135</v>
      </c>
      <c r="AR57" s="188">
        <f>AQ57*$AR$24</f>
        <v>1448.879383199494</v>
      </c>
      <c r="AS57" s="187">
        <f t="shared" si="11"/>
        <v>34.34343434343434</v>
      </c>
      <c r="AT57" s="187">
        <f>AM57/(M57*AS57)</f>
        <v>11.286238231891067</v>
      </c>
      <c r="AU57" s="206">
        <f>W57/(J57-X57)</f>
        <v>2.141826923076924</v>
      </c>
      <c r="AV57" s="207">
        <f>AU57*$A$8</f>
        <v>23798.076923076933</v>
      </c>
      <c r="AW57" s="196">
        <f>AU57/M57</f>
        <v>0.1529876373626374</v>
      </c>
      <c r="AX57" s="118"/>
      <c r="AY57" s="118"/>
      <c r="AZ57" s="118"/>
      <c r="BA57" s="118"/>
      <c r="BB57" s="118"/>
    </row>
    <row r="58" spans="1:54" ht="12.75">
      <c r="A58" s="184" t="s">
        <v>246</v>
      </c>
      <c r="B58" s="121">
        <v>8</v>
      </c>
      <c r="C58" s="121">
        <v>22</v>
      </c>
      <c r="D58" s="42">
        <f>C58/$A$14</f>
        <v>25.88235294117647</v>
      </c>
      <c r="E58" s="42">
        <f>D58*$A$16</f>
        <v>19.411764705882355</v>
      </c>
      <c r="F58" s="91">
        <f t="shared" si="6"/>
        <v>51.51515151515151</v>
      </c>
      <c r="G58" s="91">
        <f t="shared" si="4"/>
        <v>12.18655303030303</v>
      </c>
      <c r="H58" s="170">
        <v>3000</v>
      </c>
      <c r="I58" s="92">
        <f>H58*$A$19</f>
        <v>824.1758241758242</v>
      </c>
      <c r="J58" s="162">
        <f>$A$8/E58</f>
        <v>572.3905723905723</v>
      </c>
      <c r="K58" s="162">
        <f>$A$7/E58</f>
        <v>10303.030303030302</v>
      </c>
      <c r="L58" s="118">
        <f t="shared" si="7"/>
        <v>0.07999353587588882</v>
      </c>
      <c r="M58" s="162">
        <f>$A$6-B58</f>
        <v>10</v>
      </c>
      <c r="N58" s="118">
        <f>($A$6-B58)/$A$6</f>
        <v>0.5555555555555556</v>
      </c>
      <c r="O58" s="184" t="s">
        <v>242</v>
      </c>
      <c r="P58" s="121">
        <v>90</v>
      </c>
      <c r="Q58" s="42">
        <f>P58/$A$15</f>
        <v>120</v>
      </c>
      <c r="R58" s="42">
        <f>Q58*$A$16</f>
        <v>90</v>
      </c>
      <c r="S58" s="91">
        <f t="shared" si="8"/>
        <v>11.11111111111111</v>
      </c>
      <c r="T58" s="91">
        <f>100*3.785/1.6/R58</f>
        <v>2.6284722222222223</v>
      </c>
      <c r="U58" s="51">
        <f t="shared" si="9"/>
        <v>0.21568627450980393</v>
      </c>
      <c r="V58" s="170">
        <v>3500</v>
      </c>
      <c r="W58" s="92">
        <f>V58*$A$19</f>
        <v>961.5384615384617</v>
      </c>
      <c r="X58" s="162">
        <f>$A$8/R58</f>
        <v>123.4567901234568</v>
      </c>
      <c r="Y58" s="162">
        <f>$A$7/R58</f>
        <v>2222.222222222222</v>
      </c>
      <c r="Z58" s="196">
        <f t="shared" si="10"/>
        <v>0.43269230769230776</v>
      </c>
      <c r="AA58" s="169" t="s">
        <v>241</v>
      </c>
      <c r="AB58" s="180">
        <f>2010+B58</f>
        <v>2018</v>
      </c>
      <c r="AC58" s="42">
        <f>Q58*POWER(1+$A$17,B58)</f>
        <v>157.04261327000233</v>
      </c>
      <c r="AD58" s="42">
        <f>AC58*$A$16</f>
        <v>117.78195995250175</v>
      </c>
      <c r="AE58" s="162">
        <f t="shared" si="12"/>
        <v>94.33627285190295</v>
      </c>
      <c r="AF58" s="6">
        <f>M58</f>
        <v>10</v>
      </c>
      <c r="AG58" s="162">
        <f>J58-X58</f>
        <v>448.9337822671155</v>
      </c>
      <c r="AH58" s="162">
        <f>AG58*M58</f>
        <v>4489.337822671155</v>
      </c>
      <c r="AI58" s="182">
        <f>AE58-X58</f>
        <v>-29.12051727155385</v>
      </c>
      <c r="AJ58" s="182">
        <f>AI58*AF58</f>
        <v>-291.20517271553854</v>
      </c>
      <c r="AK58" s="162">
        <f>I58*N58</f>
        <v>457.8754578754579</v>
      </c>
      <c r="AL58" s="196">
        <f>AK58/(AH58+AJ58)</f>
        <v>0.1090664578881991</v>
      </c>
      <c r="AM58" s="186">
        <f>AH58+AJ58-AK58</f>
        <v>3740.2571920801583</v>
      </c>
      <c r="AN58" s="186">
        <f>AM58/M58</f>
        <v>374.02571920801586</v>
      </c>
      <c r="AO58" s="188">
        <f>AQ58*$A$13*$AO$24</f>
        <v>11220.771576240475</v>
      </c>
      <c r="AP58" s="188">
        <f>AO58/M58</f>
        <v>1122.0771576240475</v>
      </c>
      <c r="AQ58" s="187">
        <f t="shared" si="13"/>
        <v>33.28828900951341</v>
      </c>
      <c r="AR58" s="188">
        <f>AQ58*$AR$24</f>
        <v>998.6486702854024</v>
      </c>
      <c r="AS58" s="187">
        <f t="shared" si="11"/>
        <v>34.34343434343434</v>
      </c>
      <c r="AT58" s="187">
        <f>AM58/(M58*AS58)</f>
        <v>10.890748882821638</v>
      </c>
      <c r="AU58" s="206">
        <f>W58/(J58-X58)</f>
        <v>2.141826923076924</v>
      </c>
      <c r="AV58" s="207">
        <f>AU58*$A$8</f>
        <v>23798.076923076933</v>
      </c>
      <c r="AW58" s="196">
        <f>AU58/M58</f>
        <v>0.21418269230769238</v>
      </c>
      <c r="AX58" s="118"/>
      <c r="AY58" s="118"/>
      <c r="AZ58" s="118"/>
      <c r="BA58" s="118"/>
      <c r="BB58" s="118"/>
    </row>
    <row r="59" spans="1:54" ht="12.75">
      <c r="A59" s="184" t="s">
        <v>246</v>
      </c>
      <c r="B59" s="121">
        <v>12</v>
      </c>
      <c r="C59" s="121">
        <v>22</v>
      </c>
      <c r="D59" s="42">
        <f>C59/$A$14</f>
        <v>25.88235294117647</v>
      </c>
      <c r="E59" s="42">
        <f>D59*$A$16</f>
        <v>19.411764705882355</v>
      </c>
      <c r="F59" s="91">
        <f t="shared" si="6"/>
        <v>51.51515151515151</v>
      </c>
      <c r="G59" s="91">
        <f t="shared" si="4"/>
        <v>12.18655303030303</v>
      </c>
      <c r="H59" s="170">
        <v>3000</v>
      </c>
      <c r="I59" s="92">
        <f>H59*$A$19</f>
        <v>824.1758241758242</v>
      </c>
      <c r="J59" s="162">
        <f>$A$8/E59</f>
        <v>572.3905723905723</v>
      </c>
      <c r="K59" s="162">
        <f>$A$7/E59</f>
        <v>10303.030303030302</v>
      </c>
      <c r="L59" s="118">
        <f t="shared" si="7"/>
        <v>0.07999353587588882</v>
      </c>
      <c r="M59" s="162">
        <f>$A$6-B59</f>
        <v>6</v>
      </c>
      <c r="N59" s="118">
        <f>($A$6-B59)/$A$6</f>
        <v>0.3333333333333333</v>
      </c>
      <c r="O59" s="184" t="s">
        <v>242</v>
      </c>
      <c r="P59" s="121">
        <v>90</v>
      </c>
      <c r="Q59" s="42">
        <f>P59/$A$15</f>
        <v>120</v>
      </c>
      <c r="R59" s="42">
        <f>Q59*$A$16</f>
        <v>90</v>
      </c>
      <c r="S59" s="91">
        <f t="shared" si="8"/>
        <v>11.11111111111111</v>
      </c>
      <c r="T59" s="91">
        <f>100*3.785/1.6/R59</f>
        <v>2.6284722222222223</v>
      </c>
      <c r="U59" s="51">
        <f t="shared" si="9"/>
        <v>0.21568627450980393</v>
      </c>
      <c r="V59" s="170">
        <v>3500</v>
      </c>
      <c r="W59" s="92">
        <f>V59*$A$19</f>
        <v>961.5384615384617</v>
      </c>
      <c r="X59" s="162">
        <f>$A$8/R59</f>
        <v>123.4567901234568</v>
      </c>
      <c r="Y59" s="162">
        <f>$A$7/R59</f>
        <v>2222.222222222222</v>
      </c>
      <c r="Z59" s="196">
        <f t="shared" si="10"/>
        <v>0.43269230769230776</v>
      </c>
      <c r="AA59" s="169" t="s">
        <v>241</v>
      </c>
      <c r="AB59" s="180">
        <f>2010+B59</f>
        <v>2022</v>
      </c>
      <c r="AC59" s="42">
        <f>Q59*POWER(1+$A$17,B59)</f>
        <v>179.65348542028534</v>
      </c>
      <c r="AD59" s="42">
        <f>AC59*$A$16</f>
        <v>134.74011406521402</v>
      </c>
      <c r="AE59" s="162">
        <f t="shared" si="12"/>
        <v>82.46327523318965</v>
      </c>
      <c r="AF59" s="6">
        <f>M59</f>
        <v>6</v>
      </c>
      <c r="AG59" s="162">
        <f>J59-X59</f>
        <v>448.9337822671155</v>
      </c>
      <c r="AH59" s="162">
        <f>AG59*M59</f>
        <v>2693.602693602693</v>
      </c>
      <c r="AI59" s="182">
        <f>AE59-X59</f>
        <v>-40.99351489026715</v>
      </c>
      <c r="AJ59" s="182">
        <f>AI59*AF59</f>
        <v>-245.9610893416029</v>
      </c>
      <c r="AK59" s="162">
        <f>I59*N59</f>
        <v>274.72527472527474</v>
      </c>
      <c r="AL59" s="196">
        <f>AK59/(AH59+AJ59)</f>
        <v>0.11224080937626103</v>
      </c>
      <c r="AM59" s="186">
        <f>AH59+AJ59-AK59</f>
        <v>2172.9163295358153</v>
      </c>
      <c r="AN59" s="186">
        <f>AM59/M59</f>
        <v>362.15272158930253</v>
      </c>
      <c r="AO59" s="188">
        <f>AQ59*$A$13*$AO$24</f>
        <v>6518.748988607445</v>
      </c>
      <c r="AP59" s="188">
        <f>AO59/M59</f>
        <v>1086.4581647679076</v>
      </c>
      <c r="AQ59" s="187">
        <f t="shared" si="13"/>
        <v>19.338955332868757</v>
      </c>
      <c r="AR59" s="188">
        <f>AQ59*$AR$24</f>
        <v>580.1686599860627</v>
      </c>
      <c r="AS59" s="187">
        <f t="shared" si="11"/>
        <v>34.34343434343434</v>
      </c>
      <c r="AT59" s="187">
        <f>AM59/(M59*AS59)</f>
        <v>10.545035128629694</v>
      </c>
      <c r="AU59" s="206">
        <f>W59/(J59-X59)</f>
        <v>2.141826923076924</v>
      </c>
      <c r="AV59" s="207">
        <f>AU59*$A$8</f>
        <v>23798.076923076933</v>
      </c>
      <c r="AW59" s="196">
        <f>AU59/M59</f>
        <v>0.35697115384615397</v>
      </c>
      <c r="AX59" s="118"/>
      <c r="AY59" s="118"/>
      <c r="AZ59" s="118"/>
      <c r="BA59" s="118"/>
      <c r="BB59" s="118"/>
    </row>
    <row r="60" spans="1:21" ht="12.75">
      <c r="A60" s="1"/>
      <c r="P60" s="43"/>
      <c r="Q60" s="43"/>
      <c r="R60" s="43"/>
      <c r="S60" s="43"/>
      <c r="T60" s="43"/>
      <c r="U60" s="43"/>
    </row>
    <row r="61" spans="1:21" ht="12.75">
      <c r="A61" s="1"/>
      <c r="P61" s="43"/>
      <c r="Q61" s="43"/>
      <c r="R61" s="43"/>
      <c r="S61" s="43"/>
      <c r="T61" s="43"/>
      <c r="U61" s="43"/>
    </row>
    <row r="62" spans="1:58" ht="12.75">
      <c r="A62" s="233" t="s">
        <v>280</v>
      </c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29" t="s">
        <v>293</v>
      </c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31" t="s">
        <v>268</v>
      </c>
      <c r="AA62" s="231"/>
      <c r="AB62" s="231"/>
      <c r="AC62" s="231"/>
      <c r="AD62" s="231"/>
      <c r="AE62" s="231"/>
      <c r="AF62" s="231"/>
      <c r="AG62" s="231"/>
      <c r="AH62" s="201"/>
      <c r="AI62" s="232" t="s">
        <v>247</v>
      </c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1" t="s">
        <v>250</v>
      </c>
      <c r="AY62" s="231"/>
      <c r="AZ62" s="231"/>
      <c r="BA62" s="231"/>
      <c r="BB62" s="231"/>
      <c r="BC62" s="231"/>
      <c r="BD62" s="231"/>
      <c r="BE62" s="231"/>
      <c r="BF62" s="231"/>
    </row>
    <row r="63" spans="1:58" s="179" customFormat="1" ht="51" customHeight="1">
      <c r="A63" s="178" t="s">
        <v>175</v>
      </c>
      <c r="B63" s="178" t="s">
        <v>174</v>
      </c>
      <c r="C63" s="178" t="s">
        <v>270</v>
      </c>
      <c r="D63" s="179" t="s">
        <v>220</v>
      </c>
      <c r="E63" s="179" t="s">
        <v>221</v>
      </c>
      <c r="F63" s="179" t="s">
        <v>221</v>
      </c>
      <c r="G63" s="179" t="s">
        <v>221</v>
      </c>
      <c r="H63" s="178" t="s">
        <v>222</v>
      </c>
      <c r="I63" s="179" t="s">
        <v>223</v>
      </c>
      <c r="J63" s="179" t="s">
        <v>224</v>
      </c>
      <c r="K63" s="179" t="s">
        <v>225</v>
      </c>
      <c r="L63" s="179" t="s">
        <v>332</v>
      </c>
      <c r="M63" s="230" t="s">
        <v>237</v>
      </c>
      <c r="N63" s="230"/>
      <c r="O63" s="178" t="s">
        <v>175</v>
      </c>
      <c r="P63" s="179" t="s">
        <v>249</v>
      </c>
      <c r="Q63" s="179" t="s">
        <v>286</v>
      </c>
      <c r="R63" s="179" t="s">
        <v>285</v>
      </c>
      <c r="S63" s="179" t="s">
        <v>221</v>
      </c>
      <c r="T63" s="179" t="s">
        <v>221</v>
      </c>
      <c r="U63" s="179" t="s">
        <v>315</v>
      </c>
      <c r="V63" s="179" t="s">
        <v>273</v>
      </c>
      <c r="W63" s="179" t="s">
        <v>294</v>
      </c>
      <c r="X63" s="179" t="s">
        <v>224</v>
      </c>
      <c r="Y63" s="179" t="s">
        <v>292</v>
      </c>
      <c r="Z63" s="178" t="s">
        <v>299</v>
      </c>
      <c r="AA63" s="178" t="s">
        <v>295</v>
      </c>
      <c r="AB63" s="179" t="s">
        <v>301</v>
      </c>
      <c r="AC63" s="178" t="s">
        <v>300</v>
      </c>
      <c r="AD63" s="179" t="s">
        <v>296</v>
      </c>
      <c r="AE63" s="178" t="s">
        <v>333</v>
      </c>
      <c r="AF63" s="179" t="s">
        <v>276</v>
      </c>
      <c r="AG63" s="179" t="s">
        <v>272</v>
      </c>
      <c r="AH63" s="179" t="s">
        <v>281</v>
      </c>
      <c r="AI63" s="230" t="s">
        <v>263</v>
      </c>
      <c r="AJ63" s="230"/>
      <c r="AK63" s="179" t="s">
        <v>248</v>
      </c>
      <c r="AL63" s="194" t="s">
        <v>312</v>
      </c>
      <c r="AM63" s="230" t="s">
        <v>236</v>
      </c>
      <c r="AN63" s="230"/>
      <c r="AO63" s="230" t="s">
        <v>251</v>
      </c>
      <c r="AP63" s="230"/>
      <c r="AQ63" s="179" t="s">
        <v>227</v>
      </c>
      <c r="AR63" s="179" t="s">
        <v>306</v>
      </c>
      <c r="AS63" s="179" t="s">
        <v>291</v>
      </c>
      <c r="AT63" s="179" t="s">
        <v>262</v>
      </c>
      <c r="AU63" s="234" t="s">
        <v>303</v>
      </c>
      <c r="AV63" s="234"/>
      <c r="AW63" s="194" t="s">
        <v>314</v>
      </c>
      <c r="AX63" s="230" t="s">
        <v>304</v>
      </c>
      <c r="AY63" s="230"/>
      <c r="AZ63" s="179" t="s">
        <v>305</v>
      </c>
      <c r="BA63" s="179" t="s">
        <v>274</v>
      </c>
      <c r="BB63" s="179" t="s">
        <v>275</v>
      </c>
      <c r="BC63" s="179" t="s">
        <v>277</v>
      </c>
      <c r="BD63" s="179" t="s">
        <v>288</v>
      </c>
      <c r="BE63" s="179" t="s">
        <v>283</v>
      </c>
      <c r="BF63" s="179" t="s">
        <v>284</v>
      </c>
    </row>
    <row r="64" spans="1:58" s="161" customFormat="1" ht="13.5" thickBot="1">
      <c r="A64" s="168"/>
      <c r="B64" s="168" t="s">
        <v>216</v>
      </c>
      <c r="C64" s="168" t="s">
        <v>217</v>
      </c>
      <c r="D64" s="161" t="s">
        <v>217</v>
      </c>
      <c r="E64" s="161" t="s">
        <v>217</v>
      </c>
      <c r="F64" s="161" t="s">
        <v>317</v>
      </c>
      <c r="G64" s="161" t="s">
        <v>245</v>
      </c>
      <c r="H64" s="168" t="s">
        <v>2</v>
      </c>
      <c r="I64" s="161" t="s">
        <v>218</v>
      </c>
      <c r="J64" s="161" t="s">
        <v>30</v>
      </c>
      <c r="K64" s="161" t="s">
        <v>30</v>
      </c>
      <c r="L64" s="161" t="s">
        <v>219</v>
      </c>
      <c r="M64" s="161" t="s">
        <v>29</v>
      </c>
      <c r="N64" s="161" t="s">
        <v>219</v>
      </c>
      <c r="O64" s="168"/>
      <c r="P64" s="161" t="s">
        <v>310</v>
      </c>
      <c r="Q64" s="161" t="s">
        <v>310</v>
      </c>
      <c r="R64" s="161" t="s">
        <v>310</v>
      </c>
      <c r="S64" s="161" t="s">
        <v>317</v>
      </c>
      <c r="T64" s="161" t="s">
        <v>245</v>
      </c>
      <c r="U64" s="161" t="s">
        <v>219</v>
      </c>
      <c r="V64" s="161" t="s">
        <v>2</v>
      </c>
      <c r="W64" s="161" t="s">
        <v>218</v>
      </c>
      <c r="X64" s="161" t="s">
        <v>218</v>
      </c>
      <c r="Y64" s="161" t="s">
        <v>218</v>
      </c>
      <c r="Z64" s="168" t="s">
        <v>219</v>
      </c>
      <c r="AA64" s="168" t="s">
        <v>265</v>
      </c>
      <c r="AB64" s="161" t="s">
        <v>265</v>
      </c>
      <c r="AC64" s="168" t="s">
        <v>219</v>
      </c>
      <c r="AD64" s="161" t="s">
        <v>219</v>
      </c>
      <c r="AE64" s="168" t="s">
        <v>267</v>
      </c>
      <c r="AF64" s="161" t="s">
        <v>217</v>
      </c>
      <c r="AG64" s="161" t="s">
        <v>269</v>
      </c>
      <c r="AH64" s="161" t="s">
        <v>269</v>
      </c>
      <c r="AI64" s="161" t="s">
        <v>235</v>
      </c>
      <c r="AJ64" s="161" t="s">
        <v>30</v>
      </c>
      <c r="AK64" s="161" t="s">
        <v>218</v>
      </c>
      <c r="AL64" s="195" t="s">
        <v>219</v>
      </c>
      <c r="AM64" s="161" t="s">
        <v>218</v>
      </c>
      <c r="AN64" s="193" t="s">
        <v>264</v>
      </c>
      <c r="AO64" s="192">
        <f>$AO$24</f>
        <v>3</v>
      </c>
      <c r="AP64" s="192" t="s">
        <v>257</v>
      </c>
      <c r="AQ64" s="161" t="s">
        <v>31</v>
      </c>
      <c r="AR64" s="183">
        <f>$AR$24</f>
        <v>30</v>
      </c>
      <c r="AS64" s="183" t="s">
        <v>317</v>
      </c>
      <c r="AT64" s="161" t="s">
        <v>218</v>
      </c>
      <c r="AU64" s="195" t="s">
        <v>226</v>
      </c>
      <c r="AV64" s="195" t="s">
        <v>82</v>
      </c>
      <c r="AW64" s="195" t="s">
        <v>219</v>
      </c>
      <c r="AX64" s="161" t="s">
        <v>3</v>
      </c>
      <c r="AY64" s="161" t="s">
        <v>2</v>
      </c>
      <c r="AZ64" s="161" t="s">
        <v>2</v>
      </c>
      <c r="BA64" s="161" t="s">
        <v>219</v>
      </c>
      <c r="BB64" s="161" t="s">
        <v>219</v>
      </c>
      <c r="BC64" s="161" t="s">
        <v>278</v>
      </c>
      <c r="BD64" s="161" t="s">
        <v>278</v>
      </c>
      <c r="BE64" s="161" t="s">
        <v>278</v>
      </c>
      <c r="BF64" s="161" t="s">
        <v>278</v>
      </c>
    </row>
    <row r="65" spans="1:58" ht="12.75">
      <c r="A65" s="184" t="s">
        <v>176</v>
      </c>
      <c r="B65" s="121">
        <v>0</v>
      </c>
      <c r="C65" s="121">
        <v>17</v>
      </c>
      <c r="D65" s="42">
        <f>C65/$A$15</f>
        <v>22.666666666666668</v>
      </c>
      <c r="E65" s="42">
        <f>D65*$A$16</f>
        <v>17</v>
      </c>
      <c r="F65" s="91">
        <f aca="true" t="shared" si="14" ref="F65:F93">1000/E65</f>
        <v>58.8235294117647</v>
      </c>
      <c r="G65" s="91">
        <f aca="true" t="shared" si="15" ref="G65:G93">100*3.785/1.6/E65</f>
        <v>13.915441176470589</v>
      </c>
      <c r="H65" s="170">
        <v>5000</v>
      </c>
      <c r="I65" s="92">
        <f>H65*$A$19</f>
        <v>1373.6263736263738</v>
      </c>
      <c r="J65" s="162">
        <f>$A$8/E65</f>
        <v>653.5947712418301</v>
      </c>
      <c r="K65" s="162">
        <f>$A$7/E65</f>
        <v>11764.70588235294</v>
      </c>
      <c r="L65" s="118">
        <f aca="true" t="shared" si="16" ref="L65:L93">I65/K65</f>
        <v>0.11675824175824179</v>
      </c>
      <c r="M65" s="162">
        <f>$A$6-B65</f>
        <v>18</v>
      </c>
      <c r="N65" s="118">
        <f>($A$6-B65)/$A$6</f>
        <v>1</v>
      </c>
      <c r="O65" s="184" t="s">
        <v>297</v>
      </c>
      <c r="P65" s="40">
        <f>Q65*$A$15</f>
        <v>20.493174654229655</v>
      </c>
      <c r="Q65" s="91">
        <f>R65/$A$16</f>
        <v>27.324232872306208</v>
      </c>
      <c r="R65" s="91">
        <f>E65/(BC65+BD65)</f>
        <v>20.493174654229655</v>
      </c>
      <c r="S65" s="91">
        <f aca="true" t="shared" si="17" ref="S65:S93">1000/R65</f>
        <v>48.7967343699775</v>
      </c>
      <c r="T65" s="91">
        <f>100*3.785/1.6/R65</f>
        <v>11.543477474397802</v>
      </c>
      <c r="U65" s="51">
        <f aca="true" t="shared" si="18" ref="U65:U93">T65/G65</f>
        <v>0.8295444842896175</v>
      </c>
      <c r="V65" s="92">
        <f>AY65+AZ65</f>
        <v>286.45833333333337</v>
      </c>
      <c r="W65" s="92">
        <f>V65*$A$19</f>
        <v>78.69734432234434</v>
      </c>
      <c r="X65" s="162">
        <f>$A$8/R65</f>
        <v>542.1859374441945</v>
      </c>
      <c r="Y65" s="162">
        <f>$A$7*N65/R65</f>
        <v>9759.3468739955</v>
      </c>
      <c r="Z65" s="171">
        <v>0.5</v>
      </c>
      <c r="AA65" s="170">
        <v>20</v>
      </c>
      <c r="AB65" s="1">
        <f>Z65*AA65</f>
        <v>10</v>
      </c>
      <c r="AC65" s="172">
        <v>0.5</v>
      </c>
      <c r="AD65" s="163">
        <f>Z65*AC65</f>
        <v>0.25</v>
      </c>
      <c r="AE65" s="170">
        <v>8.5</v>
      </c>
      <c r="AF65" s="42">
        <f>E65/((1+BA65)*(1-BB65))</f>
        <v>16.526582278481015</v>
      </c>
      <c r="AG65" s="92">
        <f>1000*AE65/E65</f>
        <v>500</v>
      </c>
      <c r="AH65" s="92">
        <f>1000*$A$18/E65</f>
        <v>2152.9411764705883</v>
      </c>
      <c r="AI65" s="162">
        <f>J65-X65</f>
        <v>111.40883379763568</v>
      </c>
      <c r="AJ65" s="162">
        <f>AI65*M65</f>
        <v>2005.3590083574422</v>
      </c>
      <c r="AK65" s="92">
        <f>W65</f>
        <v>78.69734432234434</v>
      </c>
      <c r="AL65" s="196">
        <f>AK65/AJ65</f>
        <v>0.03924351898805595</v>
      </c>
      <c r="AM65" s="186">
        <f>AJ65-AK65</f>
        <v>1926.6616640350978</v>
      </c>
      <c r="AN65" s="186">
        <f>AM65/M65</f>
        <v>107.036759113061</v>
      </c>
      <c r="AO65" s="188">
        <f>AQ65*$A$13*$AO$64</f>
        <v>5779.984992105294</v>
      </c>
      <c r="AP65" s="188">
        <f>AO65/M65</f>
        <v>321.11027733918297</v>
      </c>
      <c r="AQ65" s="187">
        <f>AM65*$A$11/$A$12</f>
        <v>17.14728880991237</v>
      </c>
      <c r="AR65" s="188">
        <f>AQ65*$AR$64</f>
        <v>514.4186642973712</v>
      </c>
      <c r="AS65" s="187">
        <f aca="true" t="shared" si="19" ref="AS65:AS93">(1/C65-1/P65)*1000</f>
        <v>10.026795041787203</v>
      </c>
      <c r="AT65" s="187">
        <f>AM65/(M65*AS65)</f>
        <v>10.67507201124383</v>
      </c>
      <c r="AU65" s="206">
        <f>W65/(J65-X65)</f>
        <v>0.7063833417850071</v>
      </c>
      <c r="AV65" s="207">
        <f>AU65*$A$8</f>
        <v>7848.70379761119</v>
      </c>
      <c r="AW65" s="196">
        <f>AU65/M65</f>
        <v>0.03924351898805595</v>
      </c>
      <c r="AX65" s="42">
        <f>AG65*AA65*Z65/(0.8*1000)</f>
        <v>6.25</v>
      </c>
      <c r="AY65" s="92">
        <f>AX65*1000/$A$20</f>
        <v>143.22916666666669</v>
      </c>
      <c r="AZ65" s="92">
        <f>AY65*20/AA65</f>
        <v>143.22916666666669</v>
      </c>
      <c r="BA65" s="118">
        <f>V65/(2*H65)</f>
        <v>0.028645833333333336</v>
      </c>
      <c r="BB65" s="118">
        <v>0</v>
      </c>
      <c r="BC65" s="118">
        <f>(1+BA65)*(1-BB65)*(1-AD65)</f>
        <v>0.771484375</v>
      </c>
      <c r="BD65" s="118">
        <f>AD65*AG65/AH65</f>
        <v>0.05806010928961749</v>
      </c>
      <c r="BE65" s="118">
        <f>BD65*$G$9</f>
        <v>0.05086712261846605</v>
      </c>
      <c r="BF65" s="118">
        <f>BD65*$G$10</f>
        <v>0.10381045432340011</v>
      </c>
    </row>
    <row r="66" spans="1:58" ht="12.75">
      <c r="A66" s="184" t="s">
        <v>176</v>
      </c>
      <c r="B66" s="121">
        <v>4</v>
      </c>
      <c r="C66" s="121">
        <v>17</v>
      </c>
      <c r="D66" s="42">
        <f>C66/$A$14</f>
        <v>20</v>
      </c>
      <c r="E66" s="42">
        <f>D66*$A$16</f>
        <v>15</v>
      </c>
      <c r="F66" s="91">
        <f t="shared" si="14"/>
        <v>66.66666666666667</v>
      </c>
      <c r="G66" s="91">
        <f t="shared" si="15"/>
        <v>15.770833333333334</v>
      </c>
      <c r="H66" s="170">
        <v>5000</v>
      </c>
      <c r="I66" s="92">
        <f>H66*$A$19</f>
        <v>1373.6263736263738</v>
      </c>
      <c r="J66" s="162">
        <f>$A$8/E66</f>
        <v>740.7407407407408</v>
      </c>
      <c r="K66" s="162">
        <f>$A$7/E66</f>
        <v>13333.333333333334</v>
      </c>
      <c r="L66" s="118">
        <f t="shared" si="16"/>
        <v>0.10302197802197803</v>
      </c>
      <c r="M66" s="162">
        <f>$A$6-B66</f>
        <v>14</v>
      </c>
      <c r="N66" s="118">
        <f>($A$6-B66)/$A$6</f>
        <v>0.7777777777777778</v>
      </c>
      <c r="O66" s="184" t="s">
        <v>297</v>
      </c>
      <c r="P66" s="40">
        <f>Q66*$A$14</f>
        <v>20.542280549709048</v>
      </c>
      <c r="Q66" s="91">
        <f>R66/$A$16</f>
        <v>24.167388882010645</v>
      </c>
      <c r="R66" s="91">
        <f>E66/(BC66+BD66)</f>
        <v>18.125541661507985</v>
      </c>
      <c r="S66" s="91">
        <f t="shared" si="17"/>
        <v>55.17076502732241</v>
      </c>
      <c r="T66" s="91">
        <f>100*3.785/1.6/R66</f>
        <v>13.051334101775957</v>
      </c>
      <c r="U66" s="51">
        <f t="shared" si="18"/>
        <v>0.827561475409836</v>
      </c>
      <c r="V66" s="92">
        <f>AY66+AZ66</f>
        <v>305.55555555555566</v>
      </c>
      <c r="W66" s="92">
        <f>V66*$A$19</f>
        <v>83.94383394383398</v>
      </c>
      <c r="X66" s="162">
        <f>$A$8/R66</f>
        <v>613.0085003035823</v>
      </c>
      <c r="Y66" s="162">
        <f>$A$7*N66/R66</f>
        <v>8582.119004250153</v>
      </c>
      <c r="Z66" s="171">
        <v>0.5</v>
      </c>
      <c r="AA66" s="170">
        <v>20</v>
      </c>
      <c r="AB66" s="1">
        <f aca="true" t="shared" si="20" ref="AB66:AB93">Z66*AA66</f>
        <v>10</v>
      </c>
      <c r="AC66" s="172">
        <v>0.5</v>
      </c>
      <c r="AD66" s="163">
        <f>Z66*AC66</f>
        <v>0.25</v>
      </c>
      <c r="AE66" s="170">
        <v>8</v>
      </c>
      <c r="AF66" s="42">
        <f>E66/((1+BA66)*(1-BB66))</f>
        <v>14.555256064690026</v>
      </c>
      <c r="AG66" s="92">
        <f>1000*AE66/E66</f>
        <v>533.3333333333334</v>
      </c>
      <c r="AH66" s="92">
        <f>1000*$A$18/E66</f>
        <v>2440</v>
      </c>
      <c r="AI66" s="162">
        <f>J66-X66</f>
        <v>127.73224043715845</v>
      </c>
      <c r="AJ66" s="162">
        <f>AI66*M66</f>
        <v>1788.2513661202183</v>
      </c>
      <c r="AK66" s="92">
        <f>W66</f>
        <v>83.94383394383398</v>
      </c>
      <c r="AL66" s="196">
        <f aca="true" t="shared" si="21" ref="AL66:AL93">AK66/AJ66</f>
        <v>0.04694185366454277</v>
      </c>
      <c r="AM66" s="186">
        <f>AJ66-AK66</f>
        <v>1704.3075321763843</v>
      </c>
      <c r="AN66" s="186">
        <f>AM66/M66</f>
        <v>121.73625229831316</v>
      </c>
      <c r="AO66" s="188">
        <f>AQ66*$A$13*$AO$64</f>
        <v>5112.922596529153</v>
      </c>
      <c r="AP66" s="188">
        <f>AO66/M66</f>
        <v>365.20875689493954</v>
      </c>
      <c r="AQ66" s="187">
        <f>AM66*$A$11/$A$12</f>
        <v>15.168337036369822</v>
      </c>
      <c r="AR66" s="188">
        <f>AQ66*$AR$64</f>
        <v>455.05011109109466</v>
      </c>
      <c r="AS66" s="187">
        <f t="shared" si="19"/>
        <v>10.143442622950811</v>
      </c>
      <c r="AT66" s="187">
        <f>AM66/(M66*AS66)</f>
        <v>12.001472953853915</v>
      </c>
      <c r="AU66" s="206">
        <f>W66/(J66-X66)</f>
        <v>0.6571859513035987</v>
      </c>
      <c r="AV66" s="207">
        <f>AU66*$A$8</f>
        <v>7302.066125595541</v>
      </c>
      <c r="AW66" s="196">
        <f>AU66/M66</f>
        <v>0.04694185366454277</v>
      </c>
      <c r="AX66" s="42">
        <f>AG66*AA66*Z66/(0.8*1000)</f>
        <v>6.666666666666668</v>
      </c>
      <c r="AY66" s="92">
        <f>AX66*1000/$A$20</f>
        <v>152.77777777777783</v>
      </c>
      <c r="AZ66" s="92">
        <f>AY66*20/AA66</f>
        <v>152.77777777777783</v>
      </c>
      <c r="BA66" s="118">
        <f>V66/(2*H66)</f>
        <v>0.030555555555555565</v>
      </c>
      <c r="BB66" s="118">
        <v>0</v>
      </c>
      <c r="BC66" s="118">
        <f>(1+BA66)*(1-BB66)*(1-AD66)</f>
        <v>0.7729166666666667</v>
      </c>
      <c r="BD66" s="118">
        <f>AD66*AG66/AH66</f>
        <v>0.054644808743169404</v>
      </c>
      <c r="BE66" s="118">
        <f>BD66*$G$9</f>
        <v>0.047874938935026874</v>
      </c>
      <c r="BF66" s="118">
        <f>BD66*$G$10</f>
        <v>0.09770395701025893</v>
      </c>
    </row>
    <row r="67" spans="1:58" ht="12.75">
      <c r="A67" s="184" t="s">
        <v>176</v>
      </c>
      <c r="B67" s="121">
        <v>8</v>
      </c>
      <c r="C67" s="121">
        <v>17</v>
      </c>
      <c r="D67" s="42">
        <f>C67/$A$14</f>
        <v>20</v>
      </c>
      <c r="E67" s="42">
        <f>D67*$A$16</f>
        <v>15</v>
      </c>
      <c r="F67" s="91">
        <f t="shared" si="14"/>
        <v>66.66666666666667</v>
      </c>
      <c r="G67" s="91">
        <f t="shared" si="15"/>
        <v>15.770833333333334</v>
      </c>
      <c r="H67" s="170">
        <v>5000</v>
      </c>
      <c r="I67" s="92">
        <f>H67*$A$19</f>
        <v>1373.6263736263738</v>
      </c>
      <c r="J67" s="162">
        <f>$A$8/E67</f>
        <v>740.7407407407408</v>
      </c>
      <c r="K67" s="162">
        <f>$A$7/E67</f>
        <v>13333.333333333334</v>
      </c>
      <c r="L67" s="118">
        <f t="shared" si="16"/>
        <v>0.10302197802197803</v>
      </c>
      <c r="M67" s="162">
        <f>$A$6-B67</f>
        <v>10</v>
      </c>
      <c r="N67" s="118">
        <f>($A$6-B67)/$A$6</f>
        <v>0.5555555555555556</v>
      </c>
      <c r="O67" s="184" t="s">
        <v>297</v>
      </c>
      <c r="P67" s="40">
        <f>Q67*$A$14</f>
        <v>20.542280549709048</v>
      </c>
      <c r="Q67" s="91">
        <f>R67/$A$16</f>
        <v>24.167388882010645</v>
      </c>
      <c r="R67" s="91">
        <f>E67/(BC67+BD67)</f>
        <v>18.125541661507985</v>
      </c>
      <c r="S67" s="91">
        <f t="shared" si="17"/>
        <v>55.17076502732241</v>
      </c>
      <c r="T67" s="91">
        <f>100*3.785/1.6/R67</f>
        <v>13.051334101775957</v>
      </c>
      <c r="U67" s="51">
        <f t="shared" si="18"/>
        <v>0.827561475409836</v>
      </c>
      <c r="V67" s="92">
        <f>AY67+AZ67</f>
        <v>305.55555555555566</v>
      </c>
      <c r="W67" s="92">
        <f>V67*$A$19</f>
        <v>83.94383394383398</v>
      </c>
      <c r="X67" s="162">
        <f>$A$8/R67</f>
        <v>613.0085003035823</v>
      </c>
      <c r="Y67" s="162">
        <f>$A$7*N67/R67</f>
        <v>6130.085003035823</v>
      </c>
      <c r="Z67" s="171">
        <v>0.5</v>
      </c>
      <c r="AA67" s="170">
        <v>20</v>
      </c>
      <c r="AB67" s="1">
        <f t="shared" si="20"/>
        <v>10</v>
      </c>
      <c r="AC67" s="172">
        <v>0.5</v>
      </c>
      <c r="AD67" s="163">
        <f>Z67*AC67</f>
        <v>0.25</v>
      </c>
      <c r="AE67" s="170">
        <v>8</v>
      </c>
      <c r="AF67" s="42">
        <f>E67/((1+BA67)*(1-BB67))</f>
        <v>14.555256064690026</v>
      </c>
      <c r="AG67" s="92">
        <f>1000*AE67/E67</f>
        <v>533.3333333333334</v>
      </c>
      <c r="AH67" s="92">
        <f>1000*$A$18/E67</f>
        <v>2440</v>
      </c>
      <c r="AI67" s="162">
        <f>J67-X67</f>
        <v>127.73224043715845</v>
      </c>
      <c r="AJ67" s="162">
        <f>AI67*M67</f>
        <v>1277.3224043715845</v>
      </c>
      <c r="AK67" s="92">
        <f>W67</f>
        <v>83.94383394383398</v>
      </c>
      <c r="AL67" s="196">
        <f t="shared" si="21"/>
        <v>0.06571859513035987</v>
      </c>
      <c r="AM67" s="186">
        <f>AJ67-AK67</f>
        <v>1193.3785704277504</v>
      </c>
      <c r="AN67" s="186">
        <f>AM67/M67</f>
        <v>119.33785704277504</v>
      </c>
      <c r="AO67" s="188">
        <f>AQ67*$A$13*$AO$64</f>
        <v>3580.135711283251</v>
      </c>
      <c r="AP67" s="188">
        <f>AO67/M67</f>
        <v>358.0135711283251</v>
      </c>
      <c r="AQ67" s="187">
        <f>AM67*$A$11/$A$12</f>
        <v>10.62106927680698</v>
      </c>
      <c r="AR67" s="188">
        <f>AQ67*$AR$64</f>
        <v>318.63207830420936</v>
      </c>
      <c r="AS67" s="187">
        <f t="shared" si="19"/>
        <v>10.143442622950811</v>
      </c>
      <c r="AT67" s="187">
        <f>AM67/(M67*AS67)</f>
        <v>11.765025098358437</v>
      </c>
      <c r="AU67" s="206">
        <f>W67/(J67-X67)</f>
        <v>0.6571859513035987</v>
      </c>
      <c r="AV67" s="207">
        <f>AU67*$A$8</f>
        <v>7302.066125595541</v>
      </c>
      <c r="AW67" s="196">
        <f>AU67/M67</f>
        <v>0.06571859513035987</v>
      </c>
      <c r="AX67" s="42">
        <f>AG67*AA67*Z67/(0.8*1000)</f>
        <v>6.666666666666668</v>
      </c>
      <c r="AY67" s="92">
        <f>AX67*1000/$A$20</f>
        <v>152.77777777777783</v>
      </c>
      <c r="AZ67" s="92">
        <f>AY67*20/AA67</f>
        <v>152.77777777777783</v>
      </c>
      <c r="BA67" s="118">
        <f>V67/(2*H67)</f>
        <v>0.030555555555555565</v>
      </c>
      <c r="BB67" s="118">
        <v>0</v>
      </c>
      <c r="BC67" s="118">
        <f>(1+BA67)*(1-BB67)*(1-AD67)</f>
        <v>0.7729166666666667</v>
      </c>
      <c r="BD67" s="118">
        <f>AD67*AG67/AH67</f>
        <v>0.054644808743169404</v>
      </c>
      <c r="BE67" s="118">
        <f>BD67*$G$9</f>
        <v>0.047874938935026874</v>
      </c>
      <c r="BF67" s="118">
        <f>BD67*$G$10</f>
        <v>0.09770395701025893</v>
      </c>
    </row>
    <row r="68" spans="1:58" ht="12.75">
      <c r="A68" s="184" t="s">
        <v>176</v>
      </c>
      <c r="B68" s="121">
        <v>12</v>
      </c>
      <c r="C68" s="121">
        <v>17</v>
      </c>
      <c r="D68" s="42">
        <f>C68/$A$14</f>
        <v>20</v>
      </c>
      <c r="E68" s="42">
        <f>D68*$A$16</f>
        <v>15</v>
      </c>
      <c r="F68" s="91">
        <f t="shared" si="14"/>
        <v>66.66666666666667</v>
      </c>
      <c r="G68" s="91">
        <f t="shared" si="15"/>
        <v>15.770833333333334</v>
      </c>
      <c r="H68" s="170">
        <v>5000</v>
      </c>
      <c r="I68" s="92">
        <f>H68*$A$19</f>
        <v>1373.6263736263738</v>
      </c>
      <c r="J68" s="162">
        <f>$A$8/E68</f>
        <v>740.7407407407408</v>
      </c>
      <c r="K68" s="162">
        <f>$A$7/E68</f>
        <v>13333.333333333334</v>
      </c>
      <c r="L68" s="118">
        <f t="shared" si="16"/>
        <v>0.10302197802197803</v>
      </c>
      <c r="M68" s="162">
        <f>$A$6-B68</f>
        <v>6</v>
      </c>
      <c r="N68" s="118">
        <f>($A$6-B68)/$A$6</f>
        <v>0.3333333333333333</v>
      </c>
      <c r="O68" s="184" t="s">
        <v>297</v>
      </c>
      <c r="P68" s="40">
        <f>Q68*$A$14</f>
        <v>20.542280549709048</v>
      </c>
      <c r="Q68" s="91">
        <f>R68/$A$16</f>
        <v>24.167388882010645</v>
      </c>
      <c r="R68" s="91">
        <f>E68/(BC68+BD68)</f>
        <v>18.125541661507985</v>
      </c>
      <c r="S68" s="91">
        <f t="shared" si="17"/>
        <v>55.17076502732241</v>
      </c>
      <c r="T68" s="91">
        <f>100*3.785/1.6/R68</f>
        <v>13.051334101775957</v>
      </c>
      <c r="U68" s="51">
        <f t="shared" si="18"/>
        <v>0.827561475409836</v>
      </c>
      <c r="V68" s="92">
        <f>AY68+AZ68</f>
        <v>305.55555555555566</v>
      </c>
      <c r="W68" s="92">
        <f>V68*$A$19</f>
        <v>83.94383394383398</v>
      </c>
      <c r="X68" s="162">
        <f>$A$8/R68</f>
        <v>613.0085003035823</v>
      </c>
      <c r="Y68" s="162">
        <f>$A$7*N68/R68</f>
        <v>3678.051001821493</v>
      </c>
      <c r="Z68" s="171">
        <v>0.5</v>
      </c>
      <c r="AA68" s="170">
        <v>20</v>
      </c>
      <c r="AB68" s="1">
        <f t="shared" si="20"/>
        <v>10</v>
      </c>
      <c r="AC68" s="172">
        <v>0.5</v>
      </c>
      <c r="AD68" s="163">
        <f>Z68*AC68</f>
        <v>0.25</v>
      </c>
      <c r="AE68" s="170">
        <v>8</v>
      </c>
      <c r="AF68" s="42">
        <f>E68/((1+BA68)*(1-BB68))</f>
        <v>14.555256064690026</v>
      </c>
      <c r="AG68" s="92">
        <f>1000*AE68/E68</f>
        <v>533.3333333333334</v>
      </c>
      <c r="AH68" s="92">
        <f>1000*$A$18/E68</f>
        <v>2440</v>
      </c>
      <c r="AI68" s="162">
        <f>J68-X68</f>
        <v>127.73224043715845</v>
      </c>
      <c r="AJ68" s="162">
        <f>AI68*M68</f>
        <v>766.3934426229507</v>
      </c>
      <c r="AK68" s="92">
        <f>W68</f>
        <v>83.94383394383398</v>
      </c>
      <c r="AL68" s="196">
        <f t="shared" si="21"/>
        <v>0.10953099188393312</v>
      </c>
      <c r="AM68" s="186">
        <f>AJ68-AK68</f>
        <v>682.4496086791167</v>
      </c>
      <c r="AN68" s="186">
        <f>AM68/M68</f>
        <v>113.74160144651945</v>
      </c>
      <c r="AO68" s="188">
        <f>AQ68*$A$13*$AO$64</f>
        <v>2047.3488260373501</v>
      </c>
      <c r="AP68" s="188">
        <f>AO68/M68</f>
        <v>341.2248043395584</v>
      </c>
      <c r="AQ68" s="187">
        <f>AM68*$A$11/$A$12</f>
        <v>6.0738015172441395</v>
      </c>
      <c r="AR68" s="188">
        <f>AQ68*$AR$64</f>
        <v>182.2140455173242</v>
      </c>
      <c r="AS68" s="187">
        <f t="shared" si="19"/>
        <v>10.143442622950811</v>
      </c>
      <c r="AT68" s="187">
        <f>AM68/(M68*AS68)</f>
        <v>11.213313435535666</v>
      </c>
      <c r="AU68" s="206">
        <f>W68/(J68-X68)</f>
        <v>0.6571859513035987</v>
      </c>
      <c r="AV68" s="207">
        <f>AU68*$A$8</f>
        <v>7302.066125595541</v>
      </c>
      <c r="AW68" s="196">
        <f>AU68/M68</f>
        <v>0.10953099188393312</v>
      </c>
      <c r="AX68" s="42">
        <f>AG68*AA68*Z68/(0.8*1000)</f>
        <v>6.666666666666668</v>
      </c>
      <c r="AY68" s="92">
        <f>AX68*1000/$A$20</f>
        <v>152.77777777777783</v>
      </c>
      <c r="AZ68" s="92">
        <f>AY68*20/AA68</f>
        <v>152.77777777777783</v>
      </c>
      <c r="BA68" s="118">
        <f>V68/(2*H68)</f>
        <v>0.030555555555555565</v>
      </c>
      <c r="BB68" s="118">
        <v>0</v>
      </c>
      <c r="BC68" s="118">
        <f>(1+BA68)*(1-BB68)*(1-AD68)</f>
        <v>0.7729166666666667</v>
      </c>
      <c r="BD68" s="118">
        <f>AD68*AG68/AH68</f>
        <v>0.054644808743169404</v>
      </c>
      <c r="BE68" s="118">
        <f>BD68*$G$9</f>
        <v>0.047874938935026874</v>
      </c>
      <c r="BF68" s="118">
        <f>BD68*$G$10</f>
        <v>0.09770395701025893</v>
      </c>
    </row>
    <row r="69" spans="1:49" ht="12.75">
      <c r="A69" s="1"/>
      <c r="B69" s="1"/>
      <c r="C69" s="1"/>
      <c r="F69" s="91"/>
      <c r="G69" s="91"/>
      <c r="H69" s="170"/>
      <c r="L69" s="118"/>
      <c r="O69" s="170"/>
      <c r="S69" s="91"/>
      <c r="U69" s="51"/>
      <c r="AA69" s="170"/>
      <c r="AB69" s="1"/>
      <c r="AL69" s="196"/>
      <c r="AS69" s="187"/>
      <c r="AT69" s="187"/>
      <c r="AU69" s="200"/>
      <c r="AV69" s="200"/>
      <c r="AW69" s="199"/>
    </row>
    <row r="70" spans="1:58" ht="12.75">
      <c r="A70" s="184" t="s">
        <v>246</v>
      </c>
      <c r="B70" s="121">
        <v>0</v>
      </c>
      <c r="C70" s="121">
        <v>22</v>
      </c>
      <c r="D70" s="42">
        <f>C70/$A$15</f>
        <v>29.333333333333332</v>
      </c>
      <c r="E70" s="42">
        <f>D70*$A$16</f>
        <v>22</v>
      </c>
      <c r="F70" s="91">
        <f t="shared" si="14"/>
        <v>45.45454545454545</v>
      </c>
      <c r="G70" s="91">
        <f t="shared" si="15"/>
        <v>10.752840909090908</v>
      </c>
      <c r="H70" s="170">
        <v>3000</v>
      </c>
      <c r="I70" s="92">
        <f>H70*$A$19</f>
        <v>824.1758241758242</v>
      </c>
      <c r="J70" s="162">
        <f>$A$8/E70</f>
        <v>505.0505050505051</v>
      </c>
      <c r="K70" s="162">
        <f>$A$7/E70</f>
        <v>9090.90909090909</v>
      </c>
      <c r="L70" s="118">
        <f t="shared" si="16"/>
        <v>0.09065934065934067</v>
      </c>
      <c r="M70" s="162">
        <f>$A$6-B70</f>
        <v>18</v>
      </c>
      <c r="N70" s="118">
        <f>($A$6-B70)/$A$6</f>
        <v>1</v>
      </c>
      <c r="O70" s="184" t="s">
        <v>297</v>
      </c>
      <c r="P70" s="40">
        <f>Q70*$A$15</f>
        <v>26.645880596436122</v>
      </c>
      <c r="Q70" s="91">
        <f>R70/$A$16</f>
        <v>35.52784079524816</v>
      </c>
      <c r="R70" s="91">
        <f>E70/(BC70+BD70)</f>
        <v>26.64588059643612</v>
      </c>
      <c r="S70" s="91">
        <f t="shared" si="17"/>
        <v>37.52925321348734</v>
      </c>
      <c r="T70" s="91">
        <f>100*3.785/1.6/R70</f>
        <v>8.878013963315597</v>
      </c>
      <c r="U70" s="51">
        <f t="shared" si="18"/>
        <v>0.8256435706967213</v>
      </c>
      <c r="V70" s="92">
        <f>AY70+AZ70</f>
        <v>195.31250000000003</v>
      </c>
      <c r="W70" s="92">
        <f>V70*$A$19</f>
        <v>53.65728021978023</v>
      </c>
      <c r="X70" s="162">
        <f>$A$8/R70</f>
        <v>416.9917023720815</v>
      </c>
      <c r="Y70" s="162">
        <f>$A$7*N70/R70</f>
        <v>7505.850642697467</v>
      </c>
      <c r="Z70" s="171">
        <v>0.5</v>
      </c>
      <c r="AA70" s="170">
        <v>20</v>
      </c>
      <c r="AB70" s="1">
        <f t="shared" si="20"/>
        <v>10</v>
      </c>
      <c r="AC70" s="172">
        <v>0.5</v>
      </c>
      <c r="AD70" s="163">
        <f>Z70*AC70</f>
        <v>0.25</v>
      </c>
      <c r="AE70" s="170">
        <v>7.5</v>
      </c>
      <c r="AF70" s="42">
        <f>E70/((1+BA70)*(1-BB70))</f>
        <v>21.30643127364439</v>
      </c>
      <c r="AG70" s="92">
        <f>1000*AE70/E70</f>
        <v>340.90909090909093</v>
      </c>
      <c r="AH70" s="92">
        <f>1000*$A$18/E70</f>
        <v>1663.6363636363637</v>
      </c>
      <c r="AI70" s="162">
        <f>J70-X70</f>
        <v>88.0588026784236</v>
      </c>
      <c r="AJ70" s="162">
        <f>AI70*M70</f>
        <v>1585.0584482116249</v>
      </c>
      <c r="AK70" s="92">
        <f>W70</f>
        <v>53.65728021978023</v>
      </c>
      <c r="AL70" s="196">
        <f t="shared" si="21"/>
        <v>0.03385192532194644</v>
      </c>
      <c r="AM70" s="186">
        <f>AJ70-AK70</f>
        <v>1531.4011679918447</v>
      </c>
      <c r="AN70" s="186">
        <f>AM70/M70</f>
        <v>85.0778426662136</v>
      </c>
      <c r="AO70" s="188">
        <f>AQ70*$A$13*$AO$64</f>
        <v>4594.203503975534</v>
      </c>
      <c r="AP70" s="188">
        <f>AO70/M70</f>
        <v>255.23352799864077</v>
      </c>
      <c r="AQ70" s="187">
        <f>AM70*$A$11/$A$12</f>
        <v>13.629470395127418</v>
      </c>
      <c r="AR70" s="188">
        <f>AQ70*$AR$64</f>
        <v>408.88411185382256</v>
      </c>
      <c r="AS70" s="187">
        <f t="shared" si="19"/>
        <v>7.925292241058125</v>
      </c>
      <c r="AT70" s="187">
        <f>AM70/(M70*AS70)</f>
        <v>10.734978607533927</v>
      </c>
      <c r="AU70" s="206">
        <f>W70/(J70-X70)</f>
        <v>0.6093346557950359</v>
      </c>
      <c r="AV70" s="207">
        <f>AU70*$A$8</f>
        <v>6770.385064389287</v>
      </c>
      <c r="AW70" s="196">
        <f>AU70/M70</f>
        <v>0.03385192532194644</v>
      </c>
      <c r="AX70" s="42">
        <f>AG70*AA70*Z70/(0.8*1000)</f>
        <v>4.261363636363637</v>
      </c>
      <c r="AY70" s="92">
        <f>AX70*1000/$A$20</f>
        <v>97.65625000000001</v>
      </c>
      <c r="AZ70" s="92">
        <f>AY70*20/AA70</f>
        <v>97.65625000000001</v>
      </c>
      <c r="BA70" s="118">
        <f>V70/(2*H70)</f>
        <v>0.032552083333333336</v>
      </c>
      <c r="BB70" s="118">
        <v>0</v>
      </c>
      <c r="BC70" s="118">
        <f>(1+BA70)*(1-BB70)*(1-AD70)</f>
        <v>0.7744140625</v>
      </c>
      <c r="BD70" s="118">
        <f>AD70*AG70/AH70</f>
        <v>0.05122950819672131</v>
      </c>
      <c r="BE70" s="118">
        <f>BD70*$G$9</f>
        <v>0.04488275525158769</v>
      </c>
      <c r="BF70" s="118">
        <f>BD70*$G$10</f>
        <v>0.09159745969711774</v>
      </c>
    </row>
    <row r="71" spans="1:58" ht="12.75">
      <c r="A71" s="184" t="s">
        <v>246</v>
      </c>
      <c r="B71" s="121">
        <v>4</v>
      </c>
      <c r="C71" s="121">
        <v>22</v>
      </c>
      <c r="D71" s="42">
        <f>C71/$A$14</f>
        <v>25.88235294117647</v>
      </c>
      <c r="E71" s="42">
        <f>D71*$A$16</f>
        <v>19.411764705882355</v>
      </c>
      <c r="F71" s="91">
        <f t="shared" si="14"/>
        <v>51.51515151515151</v>
      </c>
      <c r="G71" s="91">
        <f t="shared" si="15"/>
        <v>12.18655303030303</v>
      </c>
      <c r="H71" s="170">
        <v>3000</v>
      </c>
      <c r="I71" s="92">
        <f>H71*$A$19</f>
        <v>824.1758241758242</v>
      </c>
      <c r="J71" s="162">
        <f>$A$8/E71</f>
        <v>572.3905723905723</v>
      </c>
      <c r="K71" s="162">
        <f>$A$7/E71</f>
        <v>10303.030303030302</v>
      </c>
      <c r="L71" s="118">
        <f t="shared" si="16"/>
        <v>0.07999353587588882</v>
      </c>
      <c r="M71" s="162">
        <f>$A$6-B71</f>
        <v>14</v>
      </c>
      <c r="N71" s="118">
        <f>($A$6-B71)/$A$6</f>
        <v>0.7777777777777778</v>
      </c>
      <c r="O71" s="184" t="s">
        <v>297</v>
      </c>
      <c r="P71" s="40">
        <f>Q71*$A$14</f>
        <v>26.710735805455368</v>
      </c>
      <c r="Q71" s="91">
        <f>R71/$A$16</f>
        <v>31.42439506524161</v>
      </c>
      <c r="R71" s="91">
        <f>E71/(BC71+BD71)</f>
        <v>23.56829629893121</v>
      </c>
      <c r="S71" s="91">
        <f t="shared" si="17"/>
        <v>42.42988068871778</v>
      </c>
      <c r="T71" s="91">
        <f>100*3.785/1.6/R71</f>
        <v>10.0373186504248</v>
      </c>
      <c r="U71" s="51">
        <f t="shared" si="18"/>
        <v>0.823638860428051</v>
      </c>
      <c r="V71" s="92">
        <f>AY71+AZ71</f>
        <v>206.59722222222223</v>
      </c>
      <c r="W71" s="92">
        <f>V71*$A$19</f>
        <v>56.75747863247864</v>
      </c>
      <c r="X71" s="162">
        <f>$A$8/R71</f>
        <v>471.4431187635309</v>
      </c>
      <c r="Y71" s="162">
        <f>$A$7*N71/R71</f>
        <v>6600.203662689432</v>
      </c>
      <c r="Z71" s="171">
        <v>0.5</v>
      </c>
      <c r="AA71" s="170">
        <v>20</v>
      </c>
      <c r="AB71" s="1">
        <f t="shared" si="20"/>
        <v>10</v>
      </c>
      <c r="AC71" s="172">
        <v>0.5</v>
      </c>
      <c r="AD71" s="163">
        <f>Z71*AC71</f>
        <v>0.25</v>
      </c>
      <c r="AE71" s="170">
        <v>7</v>
      </c>
      <c r="AF71" s="42">
        <f>E71/((1+BA71)*(1-BB71))</f>
        <v>18.765610859728508</v>
      </c>
      <c r="AG71" s="92">
        <f>1000*AE71/E71</f>
        <v>360.60606060606057</v>
      </c>
      <c r="AH71" s="92">
        <f>1000*$A$18/E71</f>
        <v>1885.4545454545453</v>
      </c>
      <c r="AI71" s="162">
        <f>J71-X71</f>
        <v>100.9474536270414</v>
      </c>
      <c r="AJ71" s="162">
        <f>AI71*M71</f>
        <v>1413.2643507785797</v>
      </c>
      <c r="AK71" s="92">
        <f>W71</f>
        <v>56.75747863247864</v>
      </c>
      <c r="AL71" s="196">
        <f t="shared" si="21"/>
        <v>0.04016055354485553</v>
      </c>
      <c r="AM71" s="186">
        <f>AJ71-AK71</f>
        <v>1356.5068721461012</v>
      </c>
      <c r="AN71" s="186">
        <f>AM71/M71</f>
        <v>96.8933480104358</v>
      </c>
      <c r="AO71" s="188">
        <f>AQ71*$A$13*$AO$64</f>
        <v>4069.5206164383035</v>
      </c>
      <c r="AP71" s="188">
        <f>AO71/M71</f>
        <v>290.6800440313074</v>
      </c>
      <c r="AQ71" s="187">
        <f>AM71*$A$11/$A$12</f>
        <v>12.0729111621003</v>
      </c>
      <c r="AR71" s="188">
        <f>AQ71*$AR$64</f>
        <v>362.187334863009</v>
      </c>
      <c r="AS71" s="187">
        <f t="shared" si="19"/>
        <v>8.01641543508859</v>
      </c>
      <c r="AT71" s="187">
        <f>AM71/(M71*AS71)</f>
        <v>12.086867103509217</v>
      </c>
      <c r="AU71" s="206">
        <f>W71/(J71-X71)</f>
        <v>0.5622477496279774</v>
      </c>
      <c r="AV71" s="207">
        <f>AU71*$A$8</f>
        <v>6247.197218088638</v>
      </c>
      <c r="AW71" s="196">
        <f>AU71/M71</f>
        <v>0.04016055354485553</v>
      </c>
      <c r="AX71" s="42">
        <f>AG71*AA71*Z71/(0.8*1000)</f>
        <v>4.507575757575757</v>
      </c>
      <c r="AY71" s="92">
        <f>AX71*1000/$A$20</f>
        <v>103.2986111111111</v>
      </c>
      <c r="AZ71" s="92">
        <f>AY71*20/AA71</f>
        <v>103.29861111111111</v>
      </c>
      <c r="BA71" s="118">
        <f>V71/(2*H71)</f>
        <v>0.03443287037037037</v>
      </c>
      <c r="BB71" s="118">
        <v>0</v>
      </c>
      <c r="BC71" s="118">
        <f>(1+BA71)*(1-BB71)*(1-AD71)</f>
        <v>0.7758246527777779</v>
      </c>
      <c r="BD71" s="118">
        <f>AD71*AG71/AH71</f>
        <v>0.04781420765027322</v>
      </c>
      <c r="BE71" s="118">
        <f>BD71*$G$9</f>
        <v>0.04189057156814851</v>
      </c>
      <c r="BF71" s="118">
        <f>BD71*$G$10</f>
        <v>0.08549096238397655</v>
      </c>
    </row>
    <row r="72" spans="1:58" ht="12.75">
      <c r="A72" s="184" t="s">
        <v>246</v>
      </c>
      <c r="B72" s="121">
        <v>8</v>
      </c>
      <c r="C72" s="121">
        <v>22</v>
      </c>
      <c r="D72" s="42">
        <f>C72/$A$14</f>
        <v>25.88235294117647</v>
      </c>
      <c r="E72" s="42">
        <f>D72*$A$16</f>
        <v>19.411764705882355</v>
      </c>
      <c r="F72" s="91">
        <f t="shared" si="14"/>
        <v>51.51515151515151</v>
      </c>
      <c r="G72" s="91">
        <f t="shared" si="15"/>
        <v>12.18655303030303</v>
      </c>
      <c r="H72" s="170">
        <v>3000</v>
      </c>
      <c r="I72" s="92">
        <f>H72*$A$19</f>
        <v>824.1758241758242</v>
      </c>
      <c r="J72" s="162">
        <f>$A$8/E72</f>
        <v>572.3905723905723</v>
      </c>
      <c r="K72" s="162">
        <f>$A$7/E72</f>
        <v>10303.030303030302</v>
      </c>
      <c r="L72" s="118">
        <f t="shared" si="16"/>
        <v>0.07999353587588882</v>
      </c>
      <c r="M72" s="162">
        <f>$A$6-B72</f>
        <v>10</v>
      </c>
      <c r="N72" s="118">
        <f>($A$6-B72)/$A$6</f>
        <v>0.5555555555555556</v>
      </c>
      <c r="O72" s="184" t="s">
        <v>297</v>
      </c>
      <c r="P72" s="40">
        <f>Q72*$A$14</f>
        <v>26.710735805455368</v>
      </c>
      <c r="Q72" s="91">
        <f>R72/$A$16</f>
        <v>31.42439506524161</v>
      </c>
      <c r="R72" s="91">
        <f>E72/(BC72+BD72)</f>
        <v>23.56829629893121</v>
      </c>
      <c r="S72" s="91">
        <f t="shared" si="17"/>
        <v>42.42988068871778</v>
      </c>
      <c r="T72" s="91">
        <f>100*3.785/1.6/R72</f>
        <v>10.0373186504248</v>
      </c>
      <c r="U72" s="51">
        <f t="shared" si="18"/>
        <v>0.823638860428051</v>
      </c>
      <c r="V72" s="92">
        <f>AY72+AZ72</f>
        <v>206.59722222222223</v>
      </c>
      <c r="W72" s="92">
        <f>V72*$A$19</f>
        <v>56.75747863247864</v>
      </c>
      <c r="X72" s="162">
        <f>$A$8/R72</f>
        <v>471.4431187635309</v>
      </c>
      <c r="Y72" s="162">
        <f>$A$7*N72/R72</f>
        <v>4714.431187635309</v>
      </c>
      <c r="Z72" s="171">
        <v>0.5</v>
      </c>
      <c r="AA72" s="170">
        <v>20</v>
      </c>
      <c r="AB72" s="1">
        <f t="shared" si="20"/>
        <v>10</v>
      </c>
      <c r="AC72" s="172">
        <v>0.5</v>
      </c>
      <c r="AD72" s="163">
        <f>Z72*AC72</f>
        <v>0.25</v>
      </c>
      <c r="AE72" s="170">
        <v>7</v>
      </c>
      <c r="AF72" s="42">
        <f>E72/((1+BA72)*(1-BB72))</f>
        <v>18.765610859728508</v>
      </c>
      <c r="AG72" s="92">
        <f>1000*AE72/E72</f>
        <v>360.60606060606057</v>
      </c>
      <c r="AH72" s="92">
        <f>1000*$A$18/E72</f>
        <v>1885.4545454545453</v>
      </c>
      <c r="AI72" s="162">
        <f>J72-X72</f>
        <v>100.9474536270414</v>
      </c>
      <c r="AJ72" s="162">
        <f>AI72*M72</f>
        <v>1009.474536270414</v>
      </c>
      <c r="AK72" s="92">
        <f>W72</f>
        <v>56.75747863247864</v>
      </c>
      <c r="AL72" s="196">
        <f t="shared" si="21"/>
        <v>0.05622477496279775</v>
      </c>
      <c r="AM72" s="186">
        <f>AJ72-AK72</f>
        <v>952.7170576379353</v>
      </c>
      <c r="AN72" s="186">
        <f>AM72/M72</f>
        <v>95.27170576379353</v>
      </c>
      <c r="AO72" s="188">
        <f>AQ72*$A$13*$AO$64</f>
        <v>2858.151172913806</v>
      </c>
      <c r="AP72" s="188">
        <f>AO72/M72</f>
        <v>285.8151172913806</v>
      </c>
      <c r="AQ72" s="187">
        <f>AM72*$A$11/$A$12</f>
        <v>8.479181812977625</v>
      </c>
      <c r="AR72" s="188">
        <f>AQ72*$AR$64</f>
        <v>254.37545438932875</v>
      </c>
      <c r="AS72" s="187">
        <f t="shared" si="19"/>
        <v>8.01641543508859</v>
      </c>
      <c r="AT72" s="187">
        <f>AM72/(M72*AS72)</f>
        <v>11.884576907875868</v>
      </c>
      <c r="AU72" s="206">
        <f>W72/(J72-X72)</f>
        <v>0.5622477496279774</v>
      </c>
      <c r="AV72" s="207">
        <f>AU72*$A$8</f>
        <v>6247.197218088638</v>
      </c>
      <c r="AW72" s="196">
        <f>AU72/M72</f>
        <v>0.05622477496279774</v>
      </c>
      <c r="AX72" s="42">
        <f>AG72*AA72*Z72/(0.8*1000)</f>
        <v>4.507575757575757</v>
      </c>
      <c r="AY72" s="92">
        <f>AX72*1000/$A$20</f>
        <v>103.2986111111111</v>
      </c>
      <c r="AZ72" s="92">
        <f>AY72*20/AA72</f>
        <v>103.29861111111111</v>
      </c>
      <c r="BA72" s="118">
        <f>V72/(2*H72)</f>
        <v>0.03443287037037037</v>
      </c>
      <c r="BB72" s="118">
        <v>0</v>
      </c>
      <c r="BC72" s="118">
        <f>(1+BA72)*(1-BB72)*(1-AD72)</f>
        <v>0.7758246527777779</v>
      </c>
      <c r="BD72" s="118">
        <f>AD72*AG72/AH72</f>
        <v>0.04781420765027322</v>
      </c>
      <c r="BE72" s="118">
        <f>BD72*$G$9</f>
        <v>0.04189057156814851</v>
      </c>
      <c r="BF72" s="118">
        <f>BD72*$G$10</f>
        <v>0.08549096238397655</v>
      </c>
    </row>
    <row r="73" spans="1:58" ht="12.75">
      <c r="A73" s="184" t="s">
        <v>246</v>
      </c>
      <c r="B73" s="121">
        <v>12</v>
      </c>
      <c r="C73" s="121">
        <v>22</v>
      </c>
      <c r="D73" s="42">
        <f>C73/$A$14</f>
        <v>25.88235294117647</v>
      </c>
      <c r="E73" s="42">
        <f>D73*$A$16</f>
        <v>19.411764705882355</v>
      </c>
      <c r="F73" s="91">
        <f t="shared" si="14"/>
        <v>51.51515151515151</v>
      </c>
      <c r="G73" s="91">
        <f t="shared" si="15"/>
        <v>12.18655303030303</v>
      </c>
      <c r="H73" s="170">
        <v>3000</v>
      </c>
      <c r="I73" s="92">
        <f>H73*$A$19</f>
        <v>824.1758241758242</v>
      </c>
      <c r="J73" s="162">
        <f>$A$8/E73</f>
        <v>572.3905723905723</v>
      </c>
      <c r="K73" s="162">
        <f>$A$7/E73</f>
        <v>10303.030303030302</v>
      </c>
      <c r="L73" s="118">
        <f t="shared" si="16"/>
        <v>0.07999353587588882</v>
      </c>
      <c r="M73" s="162">
        <f>$A$6-B73</f>
        <v>6</v>
      </c>
      <c r="N73" s="118">
        <f>($A$6-B73)/$A$6</f>
        <v>0.3333333333333333</v>
      </c>
      <c r="O73" s="184" t="s">
        <v>297</v>
      </c>
      <c r="P73" s="40">
        <f>Q73*$A$14</f>
        <v>26.710735805455368</v>
      </c>
      <c r="Q73" s="91">
        <f>R73/$A$16</f>
        <v>31.42439506524161</v>
      </c>
      <c r="R73" s="91">
        <f>E73/(BC73+BD73)</f>
        <v>23.56829629893121</v>
      </c>
      <c r="S73" s="91">
        <f t="shared" si="17"/>
        <v>42.42988068871778</v>
      </c>
      <c r="T73" s="91">
        <f>100*3.785/1.6/R73</f>
        <v>10.0373186504248</v>
      </c>
      <c r="U73" s="51">
        <f t="shared" si="18"/>
        <v>0.823638860428051</v>
      </c>
      <c r="V73" s="92">
        <f>AY73+AZ73</f>
        <v>206.59722222222223</v>
      </c>
      <c r="W73" s="92">
        <f>V73*$A$19</f>
        <v>56.75747863247864</v>
      </c>
      <c r="X73" s="162">
        <f>$A$8/R73</f>
        <v>471.4431187635309</v>
      </c>
      <c r="Y73" s="162">
        <f>$A$7*N73/R73</f>
        <v>2828.658712581185</v>
      </c>
      <c r="Z73" s="171">
        <v>0.5</v>
      </c>
      <c r="AA73" s="170">
        <v>20</v>
      </c>
      <c r="AB73" s="1">
        <f t="shared" si="20"/>
        <v>10</v>
      </c>
      <c r="AC73" s="172">
        <v>0.5</v>
      </c>
      <c r="AD73" s="163">
        <f>Z73*AC73</f>
        <v>0.25</v>
      </c>
      <c r="AE73" s="170">
        <v>7</v>
      </c>
      <c r="AF73" s="42">
        <f>E73/((1+BA73)*(1-BB73))</f>
        <v>18.765610859728508</v>
      </c>
      <c r="AG73" s="92">
        <f>1000*AE73/E73</f>
        <v>360.60606060606057</v>
      </c>
      <c r="AH73" s="92">
        <f>1000*$A$18/E73</f>
        <v>1885.4545454545453</v>
      </c>
      <c r="AI73" s="162">
        <f>J73-X73</f>
        <v>100.9474536270414</v>
      </c>
      <c r="AJ73" s="162">
        <f>AI73*M73</f>
        <v>605.6847217622484</v>
      </c>
      <c r="AK73" s="92">
        <f>W73</f>
        <v>56.75747863247864</v>
      </c>
      <c r="AL73" s="196">
        <f t="shared" si="21"/>
        <v>0.09370795827132958</v>
      </c>
      <c r="AM73" s="186">
        <f>AJ73-AK73</f>
        <v>548.9272431297697</v>
      </c>
      <c r="AN73" s="186">
        <f>AM73/M73</f>
        <v>91.48787385496162</v>
      </c>
      <c r="AO73" s="188">
        <f>AQ73*$A$13*$AO$64</f>
        <v>1646.7817293893092</v>
      </c>
      <c r="AP73" s="188">
        <f>AO73/M73</f>
        <v>274.4636215648849</v>
      </c>
      <c r="AQ73" s="187">
        <f>AM73*$A$11/$A$12</f>
        <v>4.885452463854951</v>
      </c>
      <c r="AR73" s="188">
        <f>AQ73*$AR$64</f>
        <v>146.56357391564853</v>
      </c>
      <c r="AS73" s="187">
        <f t="shared" si="19"/>
        <v>8.01641543508859</v>
      </c>
      <c r="AT73" s="187">
        <f>AM73/(M73*AS73)</f>
        <v>11.41256645139806</v>
      </c>
      <c r="AU73" s="206">
        <f>W73/(J73-X73)</f>
        <v>0.5622477496279774</v>
      </c>
      <c r="AV73" s="207">
        <f>AU73*$A$8</f>
        <v>6247.197218088638</v>
      </c>
      <c r="AW73" s="196">
        <f>AU73/M73</f>
        <v>0.09370795827132956</v>
      </c>
      <c r="AX73" s="42">
        <f>AG73*AA73*Z73/(0.8*1000)</f>
        <v>4.507575757575757</v>
      </c>
      <c r="AY73" s="92">
        <f>AX73*1000/$A$20</f>
        <v>103.2986111111111</v>
      </c>
      <c r="AZ73" s="92">
        <f>AY73*20/AA73</f>
        <v>103.29861111111111</v>
      </c>
      <c r="BA73" s="118">
        <f>V73/(2*H73)</f>
        <v>0.03443287037037037</v>
      </c>
      <c r="BB73" s="118">
        <v>0</v>
      </c>
      <c r="BC73" s="118">
        <f>(1+BA73)*(1-BB73)*(1-AD73)</f>
        <v>0.7758246527777779</v>
      </c>
      <c r="BD73" s="118">
        <f>AD73*AG73/AH73</f>
        <v>0.04781420765027322</v>
      </c>
      <c r="BE73" s="118">
        <f>BD73*$G$9</f>
        <v>0.04189057156814851</v>
      </c>
      <c r="BF73" s="118">
        <f>BD73*$G$10</f>
        <v>0.08549096238397655</v>
      </c>
    </row>
    <row r="74" spans="6:49" ht="12.75">
      <c r="F74" s="91"/>
      <c r="G74" s="91"/>
      <c r="L74" s="118"/>
      <c r="O74" s="170"/>
      <c r="S74" s="91"/>
      <c r="U74" s="51"/>
      <c r="AA74" s="170"/>
      <c r="AB74" s="1"/>
      <c r="AL74" s="196"/>
      <c r="AS74" s="187"/>
      <c r="AU74" s="200"/>
      <c r="AV74" s="200"/>
      <c r="AW74" s="199"/>
    </row>
    <row r="75" spans="1:58" ht="12.75">
      <c r="A75" s="184" t="s">
        <v>176</v>
      </c>
      <c r="B75" s="121">
        <v>0</v>
      </c>
      <c r="C75" s="121">
        <v>17</v>
      </c>
      <c r="D75" s="42">
        <f>C75/$A$15</f>
        <v>22.666666666666668</v>
      </c>
      <c r="E75" s="42">
        <f>D75*$A$16</f>
        <v>17</v>
      </c>
      <c r="F75" s="91">
        <f t="shared" si="14"/>
        <v>58.8235294117647</v>
      </c>
      <c r="G75" s="91">
        <f t="shared" si="15"/>
        <v>13.915441176470589</v>
      </c>
      <c r="H75" s="170">
        <v>5000</v>
      </c>
      <c r="I75" s="92">
        <f>H75*$A$19</f>
        <v>1373.6263736263738</v>
      </c>
      <c r="J75" s="162">
        <f>$A$8/E75</f>
        <v>653.5947712418301</v>
      </c>
      <c r="K75" s="162">
        <f>$A$7/E75</f>
        <v>11764.70588235294</v>
      </c>
      <c r="L75" s="118">
        <f t="shared" si="16"/>
        <v>0.11675824175824179</v>
      </c>
      <c r="M75" s="162">
        <f>$A$6-B75</f>
        <v>18</v>
      </c>
      <c r="N75" s="118">
        <f>($A$6-B75)/$A$6</f>
        <v>1</v>
      </c>
      <c r="O75" s="184" t="s">
        <v>298</v>
      </c>
      <c r="P75" s="40">
        <f>Q75*$A$15</f>
        <v>33.16396343875575</v>
      </c>
      <c r="Q75" s="91">
        <f>R75/$A$16</f>
        <v>44.218617918341</v>
      </c>
      <c r="R75" s="91">
        <f>E75/(BC75+BD75)</f>
        <v>33.16396343875575</v>
      </c>
      <c r="S75" s="91">
        <f t="shared" si="17"/>
        <v>30.153211387013823</v>
      </c>
      <c r="T75" s="91">
        <f>100*3.785/1.6/R75</f>
        <v>7.1331190687404575</v>
      </c>
      <c r="U75" s="51">
        <f t="shared" si="18"/>
        <v>0.5126045935792349</v>
      </c>
      <c r="V75" s="92">
        <f>AY75+AZ75</f>
        <v>572.9166666666667</v>
      </c>
      <c r="W75" s="92">
        <f>V75*$A$19</f>
        <v>157.39468864468867</v>
      </c>
      <c r="X75" s="162">
        <f>$A$8/R75</f>
        <v>335.03568207793137</v>
      </c>
      <c r="Y75" s="162">
        <f>$A$7*N75/R75</f>
        <v>6030.642277402764</v>
      </c>
      <c r="Z75" s="171">
        <v>1</v>
      </c>
      <c r="AA75" s="170">
        <v>20</v>
      </c>
      <c r="AB75" s="1">
        <f t="shared" si="20"/>
        <v>20</v>
      </c>
      <c r="AC75" s="172">
        <v>0.5</v>
      </c>
      <c r="AD75" s="163">
        <f>Z75*AC75</f>
        <v>0.5</v>
      </c>
      <c r="AE75" s="170">
        <v>8.5</v>
      </c>
      <c r="AF75" s="42">
        <f>E75/((1+BA75)*(1-BB75))</f>
        <v>21.438423645320196</v>
      </c>
      <c r="AG75" s="92">
        <f>1000*AE75/E75</f>
        <v>500</v>
      </c>
      <c r="AH75" s="92">
        <f>1000*$A$18/E75</f>
        <v>2152.9411764705883</v>
      </c>
      <c r="AI75" s="162">
        <f>J75-X75</f>
        <v>318.55908916389876</v>
      </c>
      <c r="AJ75" s="162">
        <f>AI75*M75</f>
        <v>5734.063604950177</v>
      </c>
      <c r="AK75" s="92">
        <f>W75</f>
        <v>157.39468864468867</v>
      </c>
      <c r="AL75" s="196">
        <f t="shared" si="21"/>
        <v>0.027449065704260926</v>
      </c>
      <c r="AM75" s="186">
        <f>AJ75-AK75</f>
        <v>5576.668916305489</v>
      </c>
      <c r="AN75" s="186">
        <f>AM75/M75</f>
        <v>309.81493979474936</v>
      </c>
      <c r="AO75" s="188">
        <f>AQ75*$A$13*$AO$64</f>
        <v>16730.006748916465</v>
      </c>
      <c r="AP75" s="188">
        <f>AO75/M75</f>
        <v>929.444819384248</v>
      </c>
      <c r="AQ75" s="187">
        <f>AM75*$A$11/$A$12</f>
        <v>49.63235335511885</v>
      </c>
      <c r="AR75" s="188">
        <f>AQ75*$AR$64</f>
        <v>1488.9706006535655</v>
      </c>
      <c r="AS75" s="187">
        <f t="shared" si="19"/>
        <v>28.67031802475088</v>
      </c>
      <c r="AT75" s="187">
        <f>AM75/(M75*AS75)</f>
        <v>10.806121492174883</v>
      </c>
      <c r="AU75" s="206">
        <f>W75/(J75-X75)</f>
        <v>0.4940831826766966</v>
      </c>
      <c r="AV75" s="207">
        <f>AU75*$A$8</f>
        <v>5489.813140852185</v>
      </c>
      <c r="AW75" s="196">
        <f>AU75/M75</f>
        <v>0.027449065704260922</v>
      </c>
      <c r="AX75" s="42">
        <f>AG75*AA75*Z75/(0.8*1000)</f>
        <v>12.5</v>
      </c>
      <c r="AY75" s="92">
        <f>AX75*1000/$A$20</f>
        <v>286.45833333333337</v>
      </c>
      <c r="AZ75" s="92">
        <f>AY75*20/AA75</f>
        <v>286.45833333333337</v>
      </c>
      <c r="BA75" s="118">
        <f>V75/(2*H75)</f>
        <v>0.05729166666666667</v>
      </c>
      <c r="BB75" s="118">
        <v>0.25</v>
      </c>
      <c r="BC75" s="118">
        <f>(1+BA75)*(1-BB75)*(1-AD75)</f>
        <v>0.396484375</v>
      </c>
      <c r="BD75" s="118">
        <f>AD75*AG75/AH75</f>
        <v>0.11612021857923498</v>
      </c>
      <c r="BE75" s="118">
        <f>BD75*$G$9</f>
        <v>0.1017342452369321</v>
      </c>
      <c r="BF75" s="118">
        <f>BD75*$G$10</f>
        <v>0.20762090864680022</v>
      </c>
    </row>
    <row r="76" spans="1:58" ht="12.75">
      <c r="A76" s="184" t="s">
        <v>176</v>
      </c>
      <c r="B76" s="121">
        <v>4</v>
      </c>
      <c r="C76" s="121">
        <v>17</v>
      </c>
      <c r="D76" s="42">
        <f>C76/$A$14</f>
        <v>20</v>
      </c>
      <c r="E76" s="42">
        <f>D76*$A$16</f>
        <v>15</v>
      </c>
      <c r="F76" s="91">
        <f t="shared" si="14"/>
        <v>66.66666666666667</v>
      </c>
      <c r="G76" s="91">
        <f t="shared" si="15"/>
        <v>15.770833333333334</v>
      </c>
      <c r="H76" s="170">
        <v>5000</v>
      </c>
      <c r="I76" s="92">
        <f>H76*$A$19</f>
        <v>1373.6263736263738</v>
      </c>
      <c r="J76" s="162">
        <f>$A$8/E76</f>
        <v>740.7407407407408</v>
      </c>
      <c r="K76" s="162">
        <f>$A$7/E76</f>
        <v>13333.333333333334</v>
      </c>
      <c r="L76" s="118">
        <f t="shared" si="16"/>
        <v>0.10302197802197803</v>
      </c>
      <c r="M76" s="162">
        <f>$A$6-B76</f>
        <v>14</v>
      </c>
      <c r="N76" s="118">
        <f>($A$6-B76)/$A$6</f>
        <v>0.7777777777777778</v>
      </c>
      <c r="O76" s="184" t="s">
        <v>298</v>
      </c>
      <c r="P76" s="40">
        <f>Q76*$A$14</f>
        <v>33.51693488653962</v>
      </c>
      <c r="Q76" s="91">
        <f>R76/$A$16</f>
        <v>39.431688101811325</v>
      </c>
      <c r="R76" s="91">
        <f>E76/(BC76+BD76)</f>
        <v>29.573766076358492</v>
      </c>
      <c r="S76" s="91">
        <f t="shared" si="17"/>
        <v>33.813752276867035</v>
      </c>
      <c r="T76" s="91">
        <f>100*3.785/1.6/R76</f>
        <v>7.9990657729963575</v>
      </c>
      <c r="U76" s="51">
        <f t="shared" si="18"/>
        <v>0.5072062841530055</v>
      </c>
      <c r="V76" s="92">
        <f>AY76+AZ76</f>
        <v>611.1111111111113</v>
      </c>
      <c r="W76" s="92">
        <f>V76*$A$19</f>
        <v>167.88766788766796</v>
      </c>
      <c r="X76" s="162">
        <f>$A$8/R76</f>
        <v>375.70835863185596</v>
      </c>
      <c r="Y76" s="162">
        <f>$A$7*N76/R76</f>
        <v>5259.917020845984</v>
      </c>
      <c r="Z76" s="171">
        <v>1</v>
      </c>
      <c r="AA76" s="170">
        <v>20</v>
      </c>
      <c r="AB76" s="1">
        <f t="shared" si="20"/>
        <v>20</v>
      </c>
      <c r="AC76" s="172">
        <v>0.5</v>
      </c>
      <c r="AD76" s="163">
        <f>Z76*AC76</f>
        <v>0.5</v>
      </c>
      <c r="AE76" s="170">
        <v>8</v>
      </c>
      <c r="AF76" s="42">
        <f>E76/((1+BA76)*(1-BB76))</f>
        <v>18.848167539267013</v>
      </c>
      <c r="AG76" s="92">
        <f>1000*AE76/E76</f>
        <v>533.3333333333334</v>
      </c>
      <c r="AH76" s="92">
        <f>1000*$A$18/E76</f>
        <v>2440</v>
      </c>
      <c r="AI76" s="162">
        <f>J76-X76</f>
        <v>365.0323821088848</v>
      </c>
      <c r="AJ76" s="162">
        <f>AI76*M76</f>
        <v>5110.453349524387</v>
      </c>
      <c r="AK76" s="92">
        <f>W76</f>
        <v>167.88766788766796</v>
      </c>
      <c r="AL76" s="196">
        <f t="shared" si="21"/>
        <v>0.0328518149770984</v>
      </c>
      <c r="AM76" s="186">
        <f>AJ76-AK76</f>
        <v>4942.565681636719</v>
      </c>
      <c r="AN76" s="186">
        <f>AM76/M76</f>
        <v>353.0404058311942</v>
      </c>
      <c r="AO76" s="188">
        <f>AQ76*$A$13*$AO$64</f>
        <v>14827.697044910157</v>
      </c>
      <c r="AP76" s="188">
        <f>AO76/M76</f>
        <v>1059.1212174935827</v>
      </c>
      <c r="AQ76" s="187">
        <f>AM76*$A$11/$A$12</f>
        <v>43.9888345665668</v>
      </c>
      <c r="AR76" s="188">
        <f>AQ76*$AR$64</f>
        <v>1319.665036997004</v>
      </c>
      <c r="AS76" s="187">
        <f t="shared" si="19"/>
        <v>28.987865638058498</v>
      </c>
      <c r="AT76" s="187">
        <f>AM76/(M76*AS76)</f>
        <v>12.178903070658762</v>
      </c>
      <c r="AU76" s="206">
        <f>W76/(J76-X76)</f>
        <v>0.4599254096793776</v>
      </c>
      <c r="AV76" s="207">
        <f>AU76*$A$8</f>
        <v>5110.282329770863</v>
      </c>
      <c r="AW76" s="196">
        <f>AU76/M76</f>
        <v>0.0328518149770984</v>
      </c>
      <c r="AX76" s="42">
        <f>AG76*AA76*Z76/(0.8*1000)</f>
        <v>13.333333333333336</v>
      </c>
      <c r="AY76" s="92">
        <f>AX76*1000/$A$20</f>
        <v>305.55555555555566</v>
      </c>
      <c r="AZ76" s="92">
        <f>AY76*20/AA76</f>
        <v>305.55555555555566</v>
      </c>
      <c r="BA76" s="118">
        <f>V76/(2*H76)</f>
        <v>0.06111111111111113</v>
      </c>
      <c r="BB76" s="118">
        <v>0.25</v>
      </c>
      <c r="BC76" s="118">
        <f>(1+BA76)*(1-BB76)*(1-AD76)</f>
        <v>0.3979166666666667</v>
      </c>
      <c r="BD76" s="118">
        <f>AD76*AG76/AH76</f>
        <v>0.10928961748633881</v>
      </c>
      <c r="BE76" s="118">
        <f>BD76*$G$9</f>
        <v>0.09574987787005375</v>
      </c>
      <c r="BF76" s="118">
        <f>BD76*$G$10</f>
        <v>0.19540791402051785</v>
      </c>
    </row>
    <row r="77" spans="1:58" ht="12.75">
      <c r="A77" s="184" t="s">
        <v>176</v>
      </c>
      <c r="B77" s="121">
        <v>8</v>
      </c>
      <c r="C77" s="121">
        <v>17</v>
      </c>
      <c r="D77" s="42">
        <f>C77/$A$14</f>
        <v>20</v>
      </c>
      <c r="E77" s="42">
        <f>D77*$A$16</f>
        <v>15</v>
      </c>
      <c r="F77" s="91">
        <f t="shared" si="14"/>
        <v>66.66666666666667</v>
      </c>
      <c r="G77" s="91">
        <f t="shared" si="15"/>
        <v>15.770833333333334</v>
      </c>
      <c r="H77" s="170">
        <v>5000</v>
      </c>
      <c r="I77" s="92">
        <f>H77*$A$19</f>
        <v>1373.6263736263738</v>
      </c>
      <c r="J77" s="162">
        <f>$A$8/E77</f>
        <v>740.7407407407408</v>
      </c>
      <c r="K77" s="162">
        <f>$A$7/E77</f>
        <v>13333.333333333334</v>
      </c>
      <c r="L77" s="118">
        <f t="shared" si="16"/>
        <v>0.10302197802197803</v>
      </c>
      <c r="M77" s="162">
        <f>$A$6-B77</f>
        <v>10</v>
      </c>
      <c r="N77" s="118">
        <f>($A$6-B77)/$A$6</f>
        <v>0.5555555555555556</v>
      </c>
      <c r="O77" s="184" t="s">
        <v>298</v>
      </c>
      <c r="P77" s="40">
        <f>Q77*$A$14</f>
        <v>33.51693488653962</v>
      </c>
      <c r="Q77" s="91">
        <f>R77/$A$16</f>
        <v>39.431688101811325</v>
      </c>
      <c r="R77" s="91">
        <f>E77/(BC77+BD77)</f>
        <v>29.573766076358492</v>
      </c>
      <c r="S77" s="91">
        <f t="shared" si="17"/>
        <v>33.813752276867035</v>
      </c>
      <c r="T77" s="91">
        <f>100*3.785/1.6/R77</f>
        <v>7.9990657729963575</v>
      </c>
      <c r="U77" s="51">
        <f t="shared" si="18"/>
        <v>0.5072062841530055</v>
      </c>
      <c r="V77" s="92">
        <f>AY77+AZ77</f>
        <v>611.1111111111113</v>
      </c>
      <c r="W77" s="92">
        <f>V77*$A$19</f>
        <v>167.88766788766796</v>
      </c>
      <c r="X77" s="162">
        <f>$A$8/R77</f>
        <v>375.70835863185596</v>
      </c>
      <c r="Y77" s="162">
        <f>$A$7*N77/R77</f>
        <v>3757.0835863185594</v>
      </c>
      <c r="Z77" s="171">
        <v>1</v>
      </c>
      <c r="AA77" s="170">
        <v>20</v>
      </c>
      <c r="AB77" s="1">
        <f t="shared" si="20"/>
        <v>20</v>
      </c>
      <c r="AC77" s="172">
        <v>0.5</v>
      </c>
      <c r="AD77" s="163">
        <f>Z77*AC77</f>
        <v>0.5</v>
      </c>
      <c r="AE77" s="170">
        <v>8</v>
      </c>
      <c r="AF77" s="42">
        <f>E77/((1+BA77)*(1-BB77))</f>
        <v>18.848167539267013</v>
      </c>
      <c r="AG77" s="92">
        <f>1000*AE77/E77</f>
        <v>533.3333333333334</v>
      </c>
      <c r="AH77" s="92">
        <f>1000*$A$18/E77</f>
        <v>2440</v>
      </c>
      <c r="AI77" s="162">
        <f>J77-X77</f>
        <v>365.0323821088848</v>
      </c>
      <c r="AJ77" s="162">
        <f>AI77*M77</f>
        <v>3650.323821088848</v>
      </c>
      <c r="AK77" s="92">
        <f>W77</f>
        <v>167.88766788766796</v>
      </c>
      <c r="AL77" s="196">
        <f t="shared" si="21"/>
        <v>0.04599254096793776</v>
      </c>
      <c r="AM77" s="186">
        <f>AJ77-AK77</f>
        <v>3482.43615320118</v>
      </c>
      <c r="AN77" s="186">
        <f>AM77/M77</f>
        <v>348.243615320118</v>
      </c>
      <c r="AO77" s="188">
        <f>AQ77*$A$13*$AO$64</f>
        <v>10447.30845960354</v>
      </c>
      <c r="AP77" s="188">
        <f>AO77/M77</f>
        <v>1044.7308459603541</v>
      </c>
      <c r="AQ77" s="187">
        <f>AM77*$A$11/$A$12</f>
        <v>30.993681763490503</v>
      </c>
      <c r="AR77" s="188">
        <f>AQ77*$AR$64</f>
        <v>929.8104529047151</v>
      </c>
      <c r="AS77" s="187">
        <f t="shared" si="19"/>
        <v>28.987865638058498</v>
      </c>
      <c r="AT77" s="187">
        <f>AM77/(M77*AS77)</f>
        <v>12.013427261885228</v>
      </c>
      <c r="AU77" s="206">
        <f>W77/(J77-X77)</f>
        <v>0.4599254096793776</v>
      </c>
      <c r="AV77" s="207">
        <f>AU77*$A$8</f>
        <v>5110.282329770863</v>
      </c>
      <c r="AW77" s="196">
        <f>AU77/M77</f>
        <v>0.04599254096793776</v>
      </c>
      <c r="AX77" s="42">
        <f>AG77*AA77*Z77/(0.8*1000)</f>
        <v>13.333333333333336</v>
      </c>
      <c r="AY77" s="92">
        <f>AX77*1000/$A$20</f>
        <v>305.55555555555566</v>
      </c>
      <c r="AZ77" s="92">
        <f>AY77*20/AA77</f>
        <v>305.55555555555566</v>
      </c>
      <c r="BA77" s="118">
        <f>V77/(2*H77)</f>
        <v>0.06111111111111113</v>
      </c>
      <c r="BB77" s="118">
        <v>0.25</v>
      </c>
      <c r="BC77" s="118">
        <f>(1+BA77)*(1-BB77)*(1-AD77)</f>
        <v>0.3979166666666667</v>
      </c>
      <c r="BD77" s="118">
        <f>AD77*AG77/AH77</f>
        <v>0.10928961748633881</v>
      </c>
      <c r="BE77" s="118">
        <f>BD77*$G$9</f>
        <v>0.09574987787005375</v>
      </c>
      <c r="BF77" s="118">
        <f>BD77*$G$10</f>
        <v>0.19540791402051785</v>
      </c>
    </row>
    <row r="78" spans="1:58" ht="12.75">
      <c r="A78" s="184" t="s">
        <v>176</v>
      </c>
      <c r="B78" s="121">
        <v>12</v>
      </c>
      <c r="C78" s="121">
        <v>17</v>
      </c>
      <c r="D78" s="42">
        <f>C78/$A$14</f>
        <v>20</v>
      </c>
      <c r="E78" s="42">
        <f>D78*$A$16</f>
        <v>15</v>
      </c>
      <c r="F78" s="91">
        <f t="shared" si="14"/>
        <v>66.66666666666667</v>
      </c>
      <c r="G78" s="91">
        <f t="shared" si="15"/>
        <v>15.770833333333334</v>
      </c>
      <c r="H78" s="170">
        <v>5000</v>
      </c>
      <c r="I78" s="92">
        <f>H78*$A$19</f>
        <v>1373.6263736263738</v>
      </c>
      <c r="J78" s="162">
        <f>$A$8/E78</f>
        <v>740.7407407407408</v>
      </c>
      <c r="K78" s="162">
        <f>$A$7/E78</f>
        <v>13333.333333333334</v>
      </c>
      <c r="L78" s="118">
        <f t="shared" si="16"/>
        <v>0.10302197802197803</v>
      </c>
      <c r="M78" s="162">
        <f>$A$6-B78</f>
        <v>6</v>
      </c>
      <c r="N78" s="118">
        <f>($A$6-B78)/$A$6</f>
        <v>0.3333333333333333</v>
      </c>
      <c r="O78" s="184" t="s">
        <v>298</v>
      </c>
      <c r="P78" s="40">
        <f>Q78*$A$14</f>
        <v>33.51693488653962</v>
      </c>
      <c r="Q78" s="91">
        <f>R78/$A$16</f>
        <v>39.431688101811325</v>
      </c>
      <c r="R78" s="91">
        <f>E78/(BC78+BD78)</f>
        <v>29.573766076358492</v>
      </c>
      <c r="S78" s="91">
        <f t="shared" si="17"/>
        <v>33.813752276867035</v>
      </c>
      <c r="T78" s="91">
        <f>100*3.785/1.6/R78</f>
        <v>7.9990657729963575</v>
      </c>
      <c r="U78" s="51">
        <f t="shared" si="18"/>
        <v>0.5072062841530055</v>
      </c>
      <c r="V78" s="92">
        <f>AY78+AZ78</f>
        <v>611.1111111111113</v>
      </c>
      <c r="W78" s="92">
        <f>V78*$A$19</f>
        <v>167.88766788766796</v>
      </c>
      <c r="X78" s="162">
        <f>$A$8/R78</f>
        <v>375.70835863185596</v>
      </c>
      <c r="Y78" s="162">
        <f>$A$7*N78/R78</f>
        <v>2254.250151791135</v>
      </c>
      <c r="Z78" s="171">
        <v>1</v>
      </c>
      <c r="AA78" s="170">
        <v>20</v>
      </c>
      <c r="AB78" s="1">
        <f t="shared" si="20"/>
        <v>20</v>
      </c>
      <c r="AC78" s="172">
        <v>0.5</v>
      </c>
      <c r="AD78" s="163">
        <f>Z78*AC78</f>
        <v>0.5</v>
      </c>
      <c r="AE78" s="170">
        <v>8</v>
      </c>
      <c r="AF78" s="42">
        <f>E78/((1+BA78)*(1-BB78))</f>
        <v>18.848167539267013</v>
      </c>
      <c r="AG78" s="92">
        <f>1000*AE78/E78</f>
        <v>533.3333333333334</v>
      </c>
      <c r="AH78" s="92">
        <f>1000*$A$18/E78</f>
        <v>2440</v>
      </c>
      <c r="AI78" s="162">
        <f>J78-X78</f>
        <v>365.0323821088848</v>
      </c>
      <c r="AJ78" s="162">
        <f>AI78*M78</f>
        <v>2190.194292653309</v>
      </c>
      <c r="AK78" s="92">
        <f>W78</f>
        <v>167.88766788766796</v>
      </c>
      <c r="AL78" s="196">
        <f t="shared" si="21"/>
        <v>0.07665423494656294</v>
      </c>
      <c r="AM78" s="186">
        <f>AJ78-AK78</f>
        <v>2022.306624765641</v>
      </c>
      <c r="AN78" s="186">
        <f>AM78/M78</f>
        <v>337.05110412760683</v>
      </c>
      <c r="AO78" s="188">
        <f>AQ78*$A$13*$AO$64</f>
        <v>6066.919874296923</v>
      </c>
      <c r="AP78" s="188">
        <f>AO78/M78</f>
        <v>1011.1533123828204</v>
      </c>
      <c r="AQ78" s="187">
        <f>AM78*$A$11/$A$12</f>
        <v>17.998528960414205</v>
      </c>
      <c r="AR78" s="188">
        <f>AQ78*$AR$64</f>
        <v>539.9558688124262</v>
      </c>
      <c r="AS78" s="187">
        <f t="shared" si="19"/>
        <v>28.987865638058498</v>
      </c>
      <c r="AT78" s="187">
        <f>AM78/(M78*AS78)</f>
        <v>11.627317041413653</v>
      </c>
      <c r="AU78" s="206">
        <f>W78/(J78-X78)</f>
        <v>0.4599254096793776</v>
      </c>
      <c r="AV78" s="207">
        <f>AU78*$A$8</f>
        <v>5110.282329770863</v>
      </c>
      <c r="AW78" s="196">
        <f>AU78/M78</f>
        <v>0.07665423494656294</v>
      </c>
      <c r="AX78" s="42">
        <f>AG78*AA78*Z78/(0.8*1000)</f>
        <v>13.333333333333336</v>
      </c>
      <c r="AY78" s="92">
        <f>AX78*1000/$A$20</f>
        <v>305.55555555555566</v>
      </c>
      <c r="AZ78" s="92">
        <f>AY78*20/AA78</f>
        <v>305.55555555555566</v>
      </c>
      <c r="BA78" s="118">
        <f>V78/(2*H78)</f>
        <v>0.06111111111111113</v>
      </c>
      <c r="BB78" s="118">
        <v>0.25</v>
      </c>
      <c r="BC78" s="118">
        <f>(1+BA78)*(1-BB78)*(1-AD78)</f>
        <v>0.3979166666666667</v>
      </c>
      <c r="BD78" s="118">
        <f>AD78*AG78/AH78</f>
        <v>0.10928961748633881</v>
      </c>
      <c r="BE78" s="118">
        <f>BD78*$G$9</f>
        <v>0.09574987787005375</v>
      </c>
      <c r="BF78" s="118">
        <f>BD78*$G$10</f>
        <v>0.19540791402051785</v>
      </c>
    </row>
    <row r="79" spans="1:49" ht="12.75">
      <c r="A79" s="1"/>
      <c r="B79" s="1"/>
      <c r="C79" s="1"/>
      <c r="F79" s="91"/>
      <c r="G79" s="91"/>
      <c r="H79" s="170"/>
      <c r="L79" s="118"/>
      <c r="O79" s="170"/>
      <c r="S79" s="91"/>
      <c r="U79" s="51"/>
      <c r="AA79" s="170"/>
      <c r="AB79" s="1"/>
      <c r="AL79" s="196"/>
      <c r="AS79" s="187"/>
      <c r="AT79" s="187"/>
      <c r="AU79" s="200"/>
      <c r="AV79" s="200"/>
      <c r="AW79" s="199"/>
    </row>
    <row r="80" spans="1:58" ht="12.75">
      <c r="A80" s="184" t="s">
        <v>246</v>
      </c>
      <c r="B80" s="121">
        <v>0</v>
      </c>
      <c r="C80" s="121">
        <v>22</v>
      </c>
      <c r="D80" s="42">
        <f>C80/$A$15</f>
        <v>29.333333333333332</v>
      </c>
      <c r="E80" s="42">
        <f>D80*$A$16</f>
        <v>22</v>
      </c>
      <c r="F80" s="91">
        <f t="shared" si="14"/>
        <v>45.45454545454545</v>
      </c>
      <c r="G80" s="91">
        <f t="shared" si="15"/>
        <v>10.752840909090908</v>
      </c>
      <c r="H80" s="170">
        <v>3000</v>
      </c>
      <c r="I80" s="92">
        <f>H80*$A$19</f>
        <v>824.1758241758242</v>
      </c>
      <c r="J80" s="162">
        <f>$A$8/E80</f>
        <v>505.0505050505051</v>
      </c>
      <c r="K80" s="162">
        <f>$A$7/E80</f>
        <v>9090.90909090909</v>
      </c>
      <c r="L80" s="118">
        <f t="shared" si="16"/>
        <v>0.09065934065934067</v>
      </c>
      <c r="M80" s="162">
        <f>$A$6-B80</f>
        <v>18</v>
      </c>
      <c r="N80" s="118">
        <f>($A$6-B80)/$A$6</f>
        <v>1</v>
      </c>
      <c r="O80" s="184" t="s">
        <v>298</v>
      </c>
      <c r="P80" s="40">
        <f>Q80*$A$15</f>
        <v>43.8357842355418</v>
      </c>
      <c r="Q80" s="91">
        <f>R80/$A$16</f>
        <v>58.447712314055735</v>
      </c>
      <c r="R80" s="91">
        <f>E80/(BC80+BD80)</f>
        <v>43.8357842355418</v>
      </c>
      <c r="S80" s="91">
        <f t="shared" si="17"/>
        <v>22.812412676974667</v>
      </c>
      <c r="T80" s="91">
        <f>100*3.785/1.6/R80</f>
        <v>5.3965613738968194</v>
      </c>
      <c r="U80" s="51">
        <f t="shared" si="18"/>
        <v>0.5018730788934427</v>
      </c>
      <c r="V80" s="92">
        <f>AY80+AZ80</f>
        <v>390.62500000000006</v>
      </c>
      <c r="W80" s="92">
        <f>V80*$A$19</f>
        <v>107.31456043956047</v>
      </c>
      <c r="X80" s="162">
        <f>$A$8/R80</f>
        <v>253.47125196638518</v>
      </c>
      <c r="Y80" s="162">
        <f>$A$7*N80/R80</f>
        <v>4562.482535394933</v>
      </c>
      <c r="Z80" s="171">
        <v>1</v>
      </c>
      <c r="AA80" s="170">
        <v>20</v>
      </c>
      <c r="AB80" s="1">
        <f t="shared" si="20"/>
        <v>20</v>
      </c>
      <c r="AC80" s="172">
        <v>0.5</v>
      </c>
      <c r="AD80" s="163">
        <f>Z80*AC80</f>
        <v>0.5</v>
      </c>
      <c r="AE80" s="170">
        <v>7.5</v>
      </c>
      <c r="AF80" s="42">
        <f>E80/((1+BA80)*(1-BB80))</f>
        <v>27.540342298288508</v>
      </c>
      <c r="AG80" s="92">
        <f>1000*AE80/E80</f>
        <v>340.90909090909093</v>
      </c>
      <c r="AH80" s="92">
        <f>1000*$A$18/E80</f>
        <v>1663.6363636363637</v>
      </c>
      <c r="AI80" s="162">
        <f>J80-X80</f>
        <v>251.5792530841199</v>
      </c>
      <c r="AJ80" s="162">
        <f>AI80*M80</f>
        <v>4528.426555514158</v>
      </c>
      <c r="AK80" s="92">
        <f>W80</f>
        <v>107.31456043956047</v>
      </c>
      <c r="AL80" s="196">
        <f t="shared" si="21"/>
        <v>0.023697979667769164</v>
      </c>
      <c r="AM80" s="186">
        <f>AJ80-AK80</f>
        <v>4421.111995074598</v>
      </c>
      <c r="AN80" s="186">
        <f>AM80/M80</f>
        <v>245.6173330596999</v>
      </c>
      <c r="AO80" s="188">
        <f>AQ80*$A$13*$AO$64</f>
        <v>13263.335985223794</v>
      </c>
      <c r="AP80" s="188">
        <f>AO80/M80</f>
        <v>736.8519991790996</v>
      </c>
      <c r="AQ80" s="187">
        <f>AM80*$A$11/$A$12</f>
        <v>39.34789675616392</v>
      </c>
      <c r="AR80" s="188">
        <f>AQ80*$AR$64</f>
        <v>1180.4369026849176</v>
      </c>
      <c r="AS80" s="187">
        <f t="shared" si="19"/>
        <v>22.64213277757079</v>
      </c>
      <c r="AT80" s="187">
        <f>AM80/(M80*AS80)</f>
        <v>10.847800225913677</v>
      </c>
      <c r="AU80" s="206">
        <f>W80/(J80-X80)</f>
        <v>0.42656363401984493</v>
      </c>
      <c r="AV80" s="207">
        <f>AU80*$A$8</f>
        <v>4739.595933553833</v>
      </c>
      <c r="AW80" s="196">
        <f>AU80/M80</f>
        <v>0.023697979667769164</v>
      </c>
      <c r="AX80" s="42">
        <f>AG80*AA80*Z80/(0.8*1000)</f>
        <v>8.522727272727273</v>
      </c>
      <c r="AY80" s="92">
        <f>AX80*1000/$A$20</f>
        <v>195.31250000000003</v>
      </c>
      <c r="AZ80" s="92">
        <f>AY80*20/AA80</f>
        <v>195.31250000000003</v>
      </c>
      <c r="BA80" s="118">
        <f>V80/(2*H80)</f>
        <v>0.06510416666666667</v>
      </c>
      <c r="BB80" s="118">
        <v>0.25</v>
      </c>
      <c r="BC80" s="118">
        <f>(1+BA80)*(1-BB80)*(1-AD80)</f>
        <v>0.3994140625</v>
      </c>
      <c r="BD80" s="118">
        <f>AD80*AG80/AH80</f>
        <v>0.10245901639344263</v>
      </c>
      <c r="BE80" s="118">
        <f>BD80*$G$9</f>
        <v>0.08976551050317538</v>
      </c>
      <c r="BF80" s="118">
        <f>BD80*$G$10</f>
        <v>0.1831949193942355</v>
      </c>
    </row>
    <row r="81" spans="1:58" ht="12.75">
      <c r="A81" s="184" t="s">
        <v>246</v>
      </c>
      <c r="B81" s="121">
        <v>4</v>
      </c>
      <c r="C81" s="121">
        <v>22</v>
      </c>
      <c r="D81" s="42">
        <f>C81/$A$14</f>
        <v>25.88235294117647</v>
      </c>
      <c r="E81" s="42">
        <f>D81*$A$16</f>
        <v>19.411764705882355</v>
      </c>
      <c r="F81" s="91">
        <f t="shared" si="14"/>
        <v>51.51515151515151</v>
      </c>
      <c r="G81" s="91">
        <f t="shared" si="15"/>
        <v>12.18655303030303</v>
      </c>
      <c r="H81" s="170">
        <v>3000</v>
      </c>
      <c r="I81" s="92">
        <f>H81*$A$19</f>
        <v>824.1758241758242</v>
      </c>
      <c r="J81" s="162">
        <f>$A$8/E81</f>
        <v>572.3905723905723</v>
      </c>
      <c r="K81" s="162">
        <f>$A$7/E81</f>
        <v>10303.030303030302</v>
      </c>
      <c r="L81" s="118">
        <f t="shared" si="16"/>
        <v>0.07999353587588882</v>
      </c>
      <c r="M81" s="162">
        <f>$A$6-B81</f>
        <v>14</v>
      </c>
      <c r="N81" s="118">
        <f>($A$6-B81)/$A$6</f>
        <v>0.7777777777777778</v>
      </c>
      <c r="O81" s="184" t="s">
        <v>298</v>
      </c>
      <c r="P81" s="40">
        <f>Q81*$A$14</f>
        <v>44.314360036403514</v>
      </c>
      <c r="Q81" s="91">
        <f>R81/$A$16</f>
        <v>52.13454121929825</v>
      </c>
      <c r="R81" s="91">
        <f>E81/(BC81+BD81)</f>
        <v>39.100905914473685</v>
      </c>
      <c r="S81" s="91">
        <f t="shared" si="17"/>
        <v>25.5748550222167</v>
      </c>
      <c r="T81" s="91">
        <f>100*3.785/1.6/R81</f>
        <v>6.050051641193138</v>
      </c>
      <c r="U81" s="51">
        <f t="shared" si="18"/>
        <v>0.49645306807832423</v>
      </c>
      <c r="V81" s="92">
        <f>AY81+AZ81</f>
        <v>413.19444444444446</v>
      </c>
      <c r="W81" s="92">
        <f>V81*$A$19</f>
        <v>113.51495726495727</v>
      </c>
      <c r="X81" s="162">
        <f>$A$8/R81</f>
        <v>284.1650558024078</v>
      </c>
      <c r="Y81" s="162">
        <f>$A$7*N81/R81</f>
        <v>3978.310781233709</v>
      </c>
      <c r="Z81" s="171">
        <v>1</v>
      </c>
      <c r="AA81" s="170">
        <v>20</v>
      </c>
      <c r="AB81" s="1">
        <f t="shared" si="20"/>
        <v>20</v>
      </c>
      <c r="AC81" s="172">
        <v>0.5</v>
      </c>
      <c r="AD81" s="163">
        <f>Z81*AC81</f>
        <v>0.5</v>
      </c>
      <c r="AE81" s="170">
        <v>7</v>
      </c>
      <c r="AF81" s="42">
        <f>E81/((1+BA81)*(1-BB81))</f>
        <v>24.214783910315617</v>
      </c>
      <c r="AG81" s="92">
        <f>1000*AE81/E81</f>
        <v>360.60606060606057</v>
      </c>
      <c r="AH81" s="92">
        <f>1000*$A$18/E81</f>
        <v>1885.4545454545453</v>
      </c>
      <c r="AI81" s="162">
        <f>J81-X81</f>
        <v>288.2255165881645</v>
      </c>
      <c r="AJ81" s="162">
        <f>AI81*M81</f>
        <v>4035.157232234303</v>
      </c>
      <c r="AK81" s="92">
        <f>W81</f>
        <v>113.51495726495727</v>
      </c>
      <c r="AL81" s="196">
        <f t="shared" si="21"/>
        <v>0.028131483045606878</v>
      </c>
      <c r="AM81" s="186">
        <f>AJ81-AK81</f>
        <v>3921.6422749693456</v>
      </c>
      <c r="AN81" s="186">
        <f>AM81/M81</f>
        <v>280.11730535495326</v>
      </c>
      <c r="AO81" s="188">
        <f>AQ81*$A$13*$AO$64</f>
        <v>11764.926824908036</v>
      </c>
      <c r="AP81" s="188">
        <f>AO81/M81</f>
        <v>840.3519160648597</v>
      </c>
      <c r="AQ81" s="187">
        <f>AM81*$A$11/$A$12</f>
        <v>34.90261624722717</v>
      </c>
      <c r="AR81" s="188">
        <f>AQ81*$AR$64</f>
        <v>1047.0784874168153</v>
      </c>
      <c r="AS81" s="187">
        <f t="shared" si="19"/>
        <v>22.888496905530722</v>
      </c>
      <c r="AT81" s="187">
        <f>AM81/(M81*AS81)</f>
        <v>12.238344287573833</v>
      </c>
      <c r="AU81" s="206">
        <f>W81/(J81-X81)</f>
        <v>0.39384076263849627</v>
      </c>
      <c r="AV81" s="207">
        <f>AU81*$A$8</f>
        <v>4376.00847376107</v>
      </c>
      <c r="AW81" s="196">
        <f>AU81/M81</f>
        <v>0.028131483045606875</v>
      </c>
      <c r="AX81" s="42">
        <f>AG81*AA81*Z81/(0.8*1000)</f>
        <v>9.015151515151514</v>
      </c>
      <c r="AY81" s="92">
        <f>AX81*1000/$A$20</f>
        <v>206.5972222222222</v>
      </c>
      <c r="AZ81" s="92">
        <f>AY81*20/AA81</f>
        <v>206.59722222222223</v>
      </c>
      <c r="BA81" s="118">
        <f>V81/(2*H81)</f>
        <v>0.06886574074074074</v>
      </c>
      <c r="BB81" s="118">
        <v>0.25</v>
      </c>
      <c r="BC81" s="118">
        <f>(1+BA81)*(1-BB81)*(1-AD81)</f>
        <v>0.4008246527777778</v>
      </c>
      <c r="BD81" s="118">
        <f>AD81*AG81/AH81</f>
        <v>0.09562841530054644</v>
      </c>
      <c r="BE81" s="118">
        <f>BD81*$G$9</f>
        <v>0.08378114313629702</v>
      </c>
      <c r="BF81" s="118">
        <f>BD81*$G$10</f>
        <v>0.1709819247679531</v>
      </c>
    </row>
    <row r="82" spans="1:58" ht="12.75">
      <c r="A82" s="184" t="s">
        <v>246</v>
      </c>
      <c r="B82" s="121">
        <v>8</v>
      </c>
      <c r="C82" s="121">
        <v>22</v>
      </c>
      <c r="D82" s="42">
        <f>C82/$A$14</f>
        <v>25.88235294117647</v>
      </c>
      <c r="E82" s="42">
        <f>D82*$A$16</f>
        <v>19.411764705882355</v>
      </c>
      <c r="F82" s="91">
        <f t="shared" si="14"/>
        <v>51.51515151515151</v>
      </c>
      <c r="G82" s="91">
        <f t="shared" si="15"/>
        <v>12.18655303030303</v>
      </c>
      <c r="H82" s="170">
        <v>3000</v>
      </c>
      <c r="I82" s="92">
        <f>H82*$A$19</f>
        <v>824.1758241758242</v>
      </c>
      <c r="J82" s="162">
        <f>$A$8/E82</f>
        <v>572.3905723905723</v>
      </c>
      <c r="K82" s="162">
        <f>$A$7/E82</f>
        <v>10303.030303030302</v>
      </c>
      <c r="L82" s="118">
        <f t="shared" si="16"/>
        <v>0.07999353587588882</v>
      </c>
      <c r="M82" s="162">
        <f>$A$6-B82</f>
        <v>10</v>
      </c>
      <c r="N82" s="118">
        <f>($A$6-B82)/$A$6</f>
        <v>0.5555555555555556</v>
      </c>
      <c r="O82" s="184" t="s">
        <v>298</v>
      </c>
      <c r="P82" s="40">
        <f>Q82*$A$14</f>
        <v>44.314360036403514</v>
      </c>
      <c r="Q82" s="91">
        <f>R82/$A$16</f>
        <v>52.13454121929825</v>
      </c>
      <c r="R82" s="91">
        <f>E82/(BC82+BD82)</f>
        <v>39.100905914473685</v>
      </c>
      <c r="S82" s="91">
        <f t="shared" si="17"/>
        <v>25.5748550222167</v>
      </c>
      <c r="T82" s="91">
        <f>100*3.785/1.6/R82</f>
        <v>6.050051641193138</v>
      </c>
      <c r="U82" s="51">
        <f t="shared" si="18"/>
        <v>0.49645306807832423</v>
      </c>
      <c r="V82" s="92">
        <f>AY82+AZ82</f>
        <v>413.19444444444446</v>
      </c>
      <c r="W82" s="92">
        <f>V82*$A$19</f>
        <v>113.51495726495727</v>
      </c>
      <c r="X82" s="162">
        <f>$A$8/R82</f>
        <v>284.1650558024078</v>
      </c>
      <c r="Y82" s="162">
        <f>$A$7*N82/R82</f>
        <v>2841.650558024078</v>
      </c>
      <c r="Z82" s="171">
        <v>1</v>
      </c>
      <c r="AA82" s="170">
        <v>20</v>
      </c>
      <c r="AB82" s="1">
        <f t="shared" si="20"/>
        <v>20</v>
      </c>
      <c r="AC82" s="172">
        <v>0.5</v>
      </c>
      <c r="AD82" s="163">
        <f>Z82*AC82</f>
        <v>0.5</v>
      </c>
      <c r="AE82" s="170">
        <v>7</v>
      </c>
      <c r="AF82" s="42">
        <f>E82/((1+BA82)*(1-BB82))</f>
        <v>24.214783910315617</v>
      </c>
      <c r="AG82" s="92">
        <f>1000*AE82/E82</f>
        <v>360.60606060606057</v>
      </c>
      <c r="AH82" s="92">
        <f>1000*$A$18/E82</f>
        <v>1885.4545454545453</v>
      </c>
      <c r="AI82" s="162">
        <f>J82-X82</f>
        <v>288.2255165881645</v>
      </c>
      <c r="AJ82" s="162">
        <f>AI82*M82</f>
        <v>2882.255165881645</v>
      </c>
      <c r="AK82" s="92">
        <f>W82</f>
        <v>113.51495726495727</v>
      </c>
      <c r="AL82" s="196">
        <f t="shared" si="21"/>
        <v>0.03938407626384963</v>
      </c>
      <c r="AM82" s="186">
        <f>AJ82-AK82</f>
        <v>2768.7402086166876</v>
      </c>
      <c r="AN82" s="186">
        <f>AM82/M82</f>
        <v>276.8740208616688</v>
      </c>
      <c r="AO82" s="188">
        <f>AQ82*$A$13*$AO$64</f>
        <v>8306.220625850063</v>
      </c>
      <c r="AP82" s="188">
        <f>AO82/M82</f>
        <v>830.6220625850062</v>
      </c>
      <c r="AQ82" s="187">
        <f>AM82*$A$11/$A$12</f>
        <v>24.64178785668852</v>
      </c>
      <c r="AR82" s="188">
        <f>AQ82*$AR$64</f>
        <v>739.2536357006556</v>
      </c>
      <c r="AS82" s="187">
        <f t="shared" si="19"/>
        <v>22.888496905530722</v>
      </c>
      <c r="AT82" s="187">
        <f>AM82/(M82*AS82)</f>
        <v>12.09664496556633</v>
      </c>
      <c r="AU82" s="206">
        <f>W82/(J82-X82)</f>
        <v>0.39384076263849627</v>
      </c>
      <c r="AV82" s="207">
        <f>AU82*$A$8</f>
        <v>4376.00847376107</v>
      </c>
      <c r="AW82" s="196">
        <f>AU82/M82</f>
        <v>0.03938407626384963</v>
      </c>
      <c r="AX82" s="42">
        <f>AG82*AA82*Z82/(0.8*1000)</f>
        <v>9.015151515151514</v>
      </c>
      <c r="AY82" s="92">
        <f>AX82*1000/$A$20</f>
        <v>206.5972222222222</v>
      </c>
      <c r="AZ82" s="92">
        <f>AY82*20/AA82</f>
        <v>206.59722222222223</v>
      </c>
      <c r="BA82" s="118">
        <f>V82/(2*H82)</f>
        <v>0.06886574074074074</v>
      </c>
      <c r="BB82" s="118">
        <v>0.25</v>
      </c>
      <c r="BC82" s="118">
        <f>(1+BA82)*(1-BB82)*(1-AD82)</f>
        <v>0.4008246527777778</v>
      </c>
      <c r="BD82" s="118">
        <f>AD82*AG82/AH82</f>
        <v>0.09562841530054644</v>
      </c>
      <c r="BE82" s="118">
        <f>BD82*$G$9</f>
        <v>0.08378114313629702</v>
      </c>
      <c r="BF82" s="118">
        <f>BD82*$G$10</f>
        <v>0.1709819247679531</v>
      </c>
    </row>
    <row r="83" spans="1:58" ht="12.75">
      <c r="A83" s="184" t="s">
        <v>246</v>
      </c>
      <c r="B83" s="121">
        <v>12</v>
      </c>
      <c r="C83" s="121">
        <v>22</v>
      </c>
      <c r="D83" s="42">
        <f>C83/$A$14</f>
        <v>25.88235294117647</v>
      </c>
      <c r="E83" s="42">
        <f>D83*$A$16</f>
        <v>19.411764705882355</v>
      </c>
      <c r="F83" s="91">
        <f t="shared" si="14"/>
        <v>51.51515151515151</v>
      </c>
      <c r="G83" s="91">
        <f t="shared" si="15"/>
        <v>12.18655303030303</v>
      </c>
      <c r="H83" s="170">
        <v>3000</v>
      </c>
      <c r="I83" s="92">
        <f>H83*$A$19</f>
        <v>824.1758241758242</v>
      </c>
      <c r="J83" s="162">
        <f>$A$8/E83</f>
        <v>572.3905723905723</v>
      </c>
      <c r="K83" s="162">
        <f>$A$7/E83</f>
        <v>10303.030303030302</v>
      </c>
      <c r="L83" s="118">
        <f t="shared" si="16"/>
        <v>0.07999353587588882</v>
      </c>
      <c r="M83" s="162">
        <f>$A$6-B83</f>
        <v>6</v>
      </c>
      <c r="N83" s="118">
        <f>($A$6-B83)/$A$6</f>
        <v>0.3333333333333333</v>
      </c>
      <c r="O83" s="184" t="s">
        <v>298</v>
      </c>
      <c r="P83" s="40">
        <f>Q83*$A$14</f>
        <v>44.314360036403514</v>
      </c>
      <c r="Q83" s="91">
        <f>R83/$A$16</f>
        <v>52.13454121929825</v>
      </c>
      <c r="R83" s="91">
        <f>E83/(BC83+BD83)</f>
        <v>39.100905914473685</v>
      </c>
      <c r="S83" s="91">
        <f t="shared" si="17"/>
        <v>25.5748550222167</v>
      </c>
      <c r="T83" s="91">
        <f>100*3.785/1.6/R83</f>
        <v>6.050051641193138</v>
      </c>
      <c r="U83" s="51">
        <f t="shared" si="18"/>
        <v>0.49645306807832423</v>
      </c>
      <c r="V83" s="92">
        <f>AY83+AZ83</f>
        <v>413.19444444444446</v>
      </c>
      <c r="W83" s="92">
        <f>V83*$A$19</f>
        <v>113.51495726495727</v>
      </c>
      <c r="X83" s="162">
        <f>$A$8/R83</f>
        <v>284.1650558024078</v>
      </c>
      <c r="Y83" s="162">
        <f>$A$7*N83/R83</f>
        <v>1704.9903348144464</v>
      </c>
      <c r="Z83" s="171">
        <v>1</v>
      </c>
      <c r="AA83" s="170">
        <v>20</v>
      </c>
      <c r="AB83" s="1">
        <f t="shared" si="20"/>
        <v>20</v>
      </c>
      <c r="AC83" s="172">
        <v>0.5</v>
      </c>
      <c r="AD83" s="163">
        <f>Z83*AC83</f>
        <v>0.5</v>
      </c>
      <c r="AE83" s="170">
        <v>7</v>
      </c>
      <c r="AF83" s="42">
        <f>E83/((1+BA83)*(1-BB83))</f>
        <v>24.214783910315617</v>
      </c>
      <c r="AG83" s="92">
        <f>1000*AE83/E83</f>
        <v>360.60606060606057</v>
      </c>
      <c r="AH83" s="92">
        <f>1000*$A$18/E83</f>
        <v>1885.4545454545453</v>
      </c>
      <c r="AI83" s="162">
        <f>J83-X83</f>
        <v>288.2255165881645</v>
      </c>
      <c r="AJ83" s="162">
        <f>AI83*M83</f>
        <v>1729.353099528987</v>
      </c>
      <c r="AK83" s="92">
        <f>W83</f>
        <v>113.51495726495727</v>
      </c>
      <c r="AL83" s="196">
        <f t="shared" si="21"/>
        <v>0.06564012710641605</v>
      </c>
      <c r="AM83" s="186">
        <f>AJ83-AK83</f>
        <v>1615.8381422640298</v>
      </c>
      <c r="AN83" s="186">
        <f>AM83/M83</f>
        <v>269.306357044005</v>
      </c>
      <c r="AO83" s="188">
        <f>AQ83*$A$13*$AO$64</f>
        <v>4847.514426792089</v>
      </c>
      <c r="AP83" s="188">
        <f>AO83/M83</f>
        <v>807.9190711320148</v>
      </c>
      <c r="AQ83" s="187">
        <f>AM83*$A$11/$A$12</f>
        <v>14.380959466149864</v>
      </c>
      <c r="AR83" s="188">
        <f>AQ83*$AR$64</f>
        <v>431.4287839844959</v>
      </c>
      <c r="AS83" s="187">
        <f t="shared" si="19"/>
        <v>22.888496905530722</v>
      </c>
      <c r="AT83" s="187">
        <f>AM83/(M83*AS83)</f>
        <v>11.766013214215498</v>
      </c>
      <c r="AU83" s="206">
        <f>W83/(J83-X83)</f>
        <v>0.39384076263849627</v>
      </c>
      <c r="AV83" s="207">
        <f>AU83*$A$8</f>
        <v>4376.00847376107</v>
      </c>
      <c r="AW83" s="196">
        <f>AU83/M83</f>
        <v>0.06564012710641605</v>
      </c>
      <c r="AX83" s="42">
        <f>AG83*AA83*Z83/(0.8*1000)</f>
        <v>9.015151515151514</v>
      </c>
      <c r="AY83" s="92">
        <f>AX83*1000/$A$20</f>
        <v>206.5972222222222</v>
      </c>
      <c r="AZ83" s="92">
        <f>AY83*20/AA83</f>
        <v>206.59722222222223</v>
      </c>
      <c r="BA83" s="118">
        <f>V83/(2*H83)</f>
        <v>0.06886574074074074</v>
      </c>
      <c r="BB83" s="118">
        <v>0.25</v>
      </c>
      <c r="BC83" s="118">
        <f>(1+BA83)*(1-BB83)*(1-AD83)</f>
        <v>0.4008246527777778</v>
      </c>
      <c r="BD83" s="118">
        <f>AD83*AG83/AH83</f>
        <v>0.09562841530054644</v>
      </c>
      <c r="BE83" s="118">
        <f>BD83*$G$9</f>
        <v>0.08378114313629702</v>
      </c>
      <c r="BF83" s="118">
        <f>BD83*$G$10</f>
        <v>0.1709819247679531</v>
      </c>
    </row>
    <row r="84" spans="6:49" ht="12.75">
      <c r="F84" s="91"/>
      <c r="G84" s="91"/>
      <c r="L84" s="118"/>
      <c r="O84" s="170"/>
      <c r="S84" s="91"/>
      <c r="U84" s="51"/>
      <c r="AA84" s="170"/>
      <c r="AB84" s="1"/>
      <c r="AL84" s="196"/>
      <c r="AS84" s="187"/>
      <c r="AU84" s="200"/>
      <c r="AV84" s="200"/>
      <c r="AW84" s="199"/>
    </row>
    <row r="85" spans="1:58" ht="12.75">
      <c r="A85" s="184" t="s">
        <v>176</v>
      </c>
      <c r="B85" s="121">
        <v>0</v>
      </c>
      <c r="C85" s="121">
        <v>17</v>
      </c>
      <c r="D85" s="42">
        <f>C85/$A$15</f>
        <v>22.666666666666668</v>
      </c>
      <c r="E85" s="42">
        <f>D85*$A$16</f>
        <v>17</v>
      </c>
      <c r="F85" s="91">
        <f t="shared" si="14"/>
        <v>58.8235294117647</v>
      </c>
      <c r="G85" s="91">
        <f t="shared" si="15"/>
        <v>13.915441176470589</v>
      </c>
      <c r="H85" s="170">
        <v>5000</v>
      </c>
      <c r="I85" s="92">
        <f>H85*$A$19</f>
        <v>1373.6263736263738</v>
      </c>
      <c r="J85" s="162">
        <f>$A$8/E85</f>
        <v>653.5947712418301</v>
      </c>
      <c r="K85" s="162">
        <f>$A$7/E85</f>
        <v>11764.70588235294</v>
      </c>
      <c r="L85" s="118">
        <f t="shared" si="16"/>
        <v>0.11675824175824179</v>
      </c>
      <c r="M85" s="162">
        <f>$A$6-B85</f>
        <v>18</v>
      </c>
      <c r="N85" s="118">
        <f>($A$6-B85)/$A$6</f>
        <v>1</v>
      </c>
      <c r="O85" s="184" t="s">
        <v>243</v>
      </c>
      <c r="P85" s="40">
        <f>Q85*$A$15</f>
        <v>66.54545454545455</v>
      </c>
      <c r="Q85" s="91">
        <f>R85/$A$16</f>
        <v>88.72727272727273</v>
      </c>
      <c r="R85" s="91">
        <f>E85/(BC85+BD85)</f>
        <v>66.54545454545455</v>
      </c>
      <c r="S85" s="91">
        <f t="shared" si="17"/>
        <v>15.027322404371585</v>
      </c>
      <c r="T85" s="91">
        <f>100*3.785/1.6/R85</f>
        <v>3.554900956284153</v>
      </c>
      <c r="U85" s="51">
        <f t="shared" si="18"/>
        <v>0.25546448087431695</v>
      </c>
      <c r="V85" s="92">
        <f>AY85+AZ85</f>
        <v>945.3125</v>
      </c>
      <c r="W85" s="92">
        <f>V85*$A$19</f>
        <v>259.7012362637363</v>
      </c>
      <c r="X85" s="162">
        <f>$A$8/R85</f>
        <v>166.97024893746206</v>
      </c>
      <c r="Y85" s="162">
        <f>$A$7*N85/R85</f>
        <v>3005.464480874317</v>
      </c>
      <c r="Z85" s="171">
        <v>1</v>
      </c>
      <c r="AA85" s="170">
        <v>80</v>
      </c>
      <c r="AB85" s="1">
        <f t="shared" si="20"/>
        <v>80</v>
      </c>
      <c r="AC85" s="172">
        <v>1</v>
      </c>
      <c r="AD85" s="163">
        <f>Z85*AC85</f>
        <v>1</v>
      </c>
      <c r="AE85" s="170">
        <v>8.5</v>
      </c>
      <c r="AF85" s="42" t="s">
        <v>11</v>
      </c>
      <c r="AG85" s="92">
        <f>1000*1.1*AE85/E85</f>
        <v>550</v>
      </c>
      <c r="AH85" s="92">
        <f>1000*$A$18/E85</f>
        <v>2152.9411764705883</v>
      </c>
      <c r="AI85" s="162">
        <f>J85-X85</f>
        <v>486.62452230436804</v>
      </c>
      <c r="AJ85" s="162">
        <f>AI85*M85</f>
        <v>8759.241401478625</v>
      </c>
      <c r="AK85" s="92">
        <f>W85</f>
        <v>259.7012362637363</v>
      </c>
      <c r="AL85" s="196">
        <f t="shared" si="21"/>
        <v>0.02964882737675169</v>
      </c>
      <c r="AM85" s="186">
        <f>AJ85-AK85</f>
        <v>8499.540165214888</v>
      </c>
      <c r="AN85" s="186">
        <f>AM85/M85</f>
        <v>472.19667584527156</v>
      </c>
      <c r="AO85" s="188">
        <f>AQ85*$A$13*$AO$64</f>
        <v>25498.620495644667</v>
      </c>
      <c r="AP85" s="188">
        <f>AO85/M85</f>
        <v>1416.590027535815</v>
      </c>
      <c r="AQ85" s="187">
        <f>AM85*$A$11/$A$12</f>
        <v>75.64590747041251</v>
      </c>
      <c r="AR85" s="188">
        <f>AQ85*$AR$64</f>
        <v>2269.377224112375</v>
      </c>
      <c r="AS85" s="187">
        <f t="shared" si="19"/>
        <v>43.796207007393114</v>
      </c>
      <c r="AT85" s="187">
        <f>AM85/(M85*AS85)</f>
        <v>10.781679695813873</v>
      </c>
      <c r="AU85" s="206">
        <f>W85/(J85-X85)</f>
        <v>0.5336788927815305</v>
      </c>
      <c r="AV85" s="207">
        <f>AU85*$A$8</f>
        <v>5929.765475350338</v>
      </c>
      <c r="AW85" s="196">
        <f>AU85/M85</f>
        <v>0.02964882737675169</v>
      </c>
      <c r="AX85" s="42">
        <f>AG85*AA85*Z85/(0.8*1000)</f>
        <v>55</v>
      </c>
      <c r="AY85" s="92">
        <f>AX85*1000/$A$20</f>
        <v>1260.4166666666667</v>
      </c>
      <c r="AZ85" s="92">
        <f>-AY85*20/AA85</f>
        <v>-315.1041666666667</v>
      </c>
      <c r="BA85" s="118">
        <f>V85/(2*H85)</f>
        <v>0.09453125</v>
      </c>
      <c r="BB85" s="118">
        <v>0</v>
      </c>
      <c r="BC85" s="118">
        <f>(1+BA85)*(1-BB85)*(1-AD85)</f>
        <v>0</v>
      </c>
      <c r="BD85" s="118">
        <f>AD85*AG85/AH85</f>
        <v>0.25546448087431695</v>
      </c>
      <c r="BE85" s="118">
        <f>BD85*$G$9</f>
        <v>0.22381533952125063</v>
      </c>
      <c r="BF85" s="118">
        <f>BD85*$G$10</f>
        <v>0.45676599902296044</v>
      </c>
    </row>
    <row r="86" spans="1:58" ht="12.75">
      <c r="A86" s="184" t="s">
        <v>176</v>
      </c>
      <c r="B86" s="121">
        <v>4</v>
      </c>
      <c r="C86" s="121">
        <v>17</v>
      </c>
      <c r="D86" s="42">
        <f>C86/$A$14</f>
        <v>20</v>
      </c>
      <c r="E86" s="42">
        <f>D86*$A$16</f>
        <v>15</v>
      </c>
      <c r="F86" s="91">
        <f t="shared" si="14"/>
        <v>66.66666666666667</v>
      </c>
      <c r="G86" s="91">
        <f t="shared" si="15"/>
        <v>15.770833333333334</v>
      </c>
      <c r="H86" s="170">
        <v>5000</v>
      </c>
      <c r="I86" s="92">
        <f>H86*$A$19</f>
        <v>1373.6263736263738</v>
      </c>
      <c r="J86" s="162">
        <f>$A$8/E86</f>
        <v>740.7407407407408</v>
      </c>
      <c r="K86" s="162">
        <f>$A$7/E86</f>
        <v>13333.333333333334</v>
      </c>
      <c r="L86" s="118">
        <f t="shared" si="16"/>
        <v>0.10302197802197803</v>
      </c>
      <c r="M86" s="162">
        <f>$A$6-B86</f>
        <v>14</v>
      </c>
      <c r="N86" s="118">
        <f>($A$6-B86)/$A$6</f>
        <v>0.7777777777777778</v>
      </c>
      <c r="O86" s="184" t="s">
        <v>243</v>
      </c>
      <c r="P86" s="40">
        <f>Q86*$A$14</f>
        <v>70.70454545454545</v>
      </c>
      <c r="Q86" s="91">
        <f>R86/$A$16</f>
        <v>83.18181818181819</v>
      </c>
      <c r="R86" s="91">
        <f>E86/(BC86+BD86)</f>
        <v>62.38636363636364</v>
      </c>
      <c r="S86" s="91">
        <f t="shared" si="17"/>
        <v>16.029143897996356</v>
      </c>
      <c r="T86" s="91">
        <f>100*3.785/1.6/R86</f>
        <v>3.791894353369763</v>
      </c>
      <c r="U86" s="51">
        <f t="shared" si="18"/>
        <v>0.24043715846994532</v>
      </c>
      <c r="V86" s="92">
        <f>AY86+AZ86</f>
        <v>1008.3333333333333</v>
      </c>
      <c r="W86" s="92">
        <f>V86*$A$19</f>
        <v>277.01465201465203</v>
      </c>
      <c r="X86" s="162">
        <f>$A$8/R86</f>
        <v>178.10159886662618</v>
      </c>
      <c r="Y86" s="162">
        <f>$A$7*N86/R86</f>
        <v>2493.4223841327666</v>
      </c>
      <c r="Z86" s="171">
        <v>1</v>
      </c>
      <c r="AA86" s="170">
        <v>80</v>
      </c>
      <c r="AB86" s="1">
        <f t="shared" si="20"/>
        <v>80</v>
      </c>
      <c r="AC86" s="172">
        <v>1</v>
      </c>
      <c r="AD86" s="163">
        <f>Z86*AC86</f>
        <v>1</v>
      </c>
      <c r="AE86" s="170">
        <v>8</v>
      </c>
      <c r="AF86" s="42" t="s">
        <v>11</v>
      </c>
      <c r="AG86" s="92">
        <f>1000*1.1*AE86/E86</f>
        <v>586.6666666666666</v>
      </c>
      <c r="AH86" s="92">
        <f>1000*$A$18/E86</f>
        <v>2440</v>
      </c>
      <c r="AI86" s="162">
        <f>J86-X86</f>
        <v>562.6391418741146</v>
      </c>
      <c r="AJ86" s="162">
        <f>AI86*M86</f>
        <v>7876.947986237604</v>
      </c>
      <c r="AK86" s="92">
        <f>W86</f>
        <v>277.01465201465203</v>
      </c>
      <c r="AL86" s="196">
        <f t="shared" si="21"/>
        <v>0.035167764532487045</v>
      </c>
      <c r="AM86" s="186">
        <f>AJ86-AK86</f>
        <v>7599.933334222952</v>
      </c>
      <c r="AN86" s="186">
        <f>AM86/M86</f>
        <v>542.8523810159252</v>
      </c>
      <c r="AO86" s="188">
        <f>AQ86*$A$13*$AO$64</f>
        <v>22799.800002668853</v>
      </c>
      <c r="AP86" s="188">
        <f>AO86/M86</f>
        <v>1628.5571430477753</v>
      </c>
      <c r="AQ86" s="187">
        <f>AM86*$A$11/$A$12</f>
        <v>67.63940667458427</v>
      </c>
      <c r="AR86" s="188">
        <f>AQ86*$AR$64</f>
        <v>2029.182200237528</v>
      </c>
      <c r="AS86" s="187">
        <f t="shared" si="19"/>
        <v>44.68016714882674</v>
      </c>
      <c r="AT86" s="187">
        <f>AM86/(M86*AS86)</f>
        <v>12.149739261442758</v>
      </c>
      <c r="AU86" s="206">
        <f>W86/(J86-X86)</f>
        <v>0.49234870345481857</v>
      </c>
      <c r="AV86" s="207">
        <f>AU86*$A$8</f>
        <v>5470.541149497984</v>
      </c>
      <c r="AW86" s="196">
        <f>AU86/M86</f>
        <v>0.03516776453248704</v>
      </c>
      <c r="AX86" s="42">
        <f>AG86*AA86*Z86/(0.8*1000)</f>
        <v>58.66666666666666</v>
      </c>
      <c r="AY86" s="92">
        <f>AX86*1000/$A$20</f>
        <v>1344.4444444444443</v>
      </c>
      <c r="AZ86" s="92">
        <f>-AY86*20/AA86</f>
        <v>-336.1111111111111</v>
      </c>
      <c r="BA86" s="118">
        <f>V86/(2*H86)</f>
        <v>0.10083333333333333</v>
      </c>
      <c r="BB86" s="118">
        <v>0</v>
      </c>
      <c r="BC86" s="118">
        <f>(1+BA86)*(1-BB86)*(1-AD86)</f>
        <v>0</v>
      </c>
      <c r="BD86" s="118">
        <f>AD86*AG86/AH86</f>
        <v>0.24043715846994534</v>
      </c>
      <c r="BE86" s="118">
        <f>BD86*$G$9</f>
        <v>0.2106497313141182</v>
      </c>
      <c r="BF86" s="118">
        <f>BD86*$G$10</f>
        <v>0.4298974108451392</v>
      </c>
    </row>
    <row r="87" spans="1:58" ht="12.75">
      <c r="A87" s="184" t="s">
        <v>176</v>
      </c>
      <c r="B87" s="121">
        <v>8</v>
      </c>
      <c r="C87" s="121">
        <v>17</v>
      </c>
      <c r="D87" s="42">
        <f>C87/$A$14</f>
        <v>20</v>
      </c>
      <c r="E87" s="42">
        <f>D87*$A$16</f>
        <v>15</v>
      </c>
      <c r="F87" s="91">
        <f t="shared" si="14"/>
        <v>66.66666666666667</v>
      </c>
      <c r="G87" s="91">
        <f t="shared" si="15"/>
        <v>15.770833333333334</v>
      </c>
      <c r="H87" s="170">
        <v>5000</v>
      </c>
      <c r="I87" s="92">
        <f>H87*$A$19</f>
        <v>1373.6263736263738</v>
      </c>
      <c r="J87" s="162">
        <f>$A$8/E87</f>
        <v>740.7407407407408</v>
      </c>
      <c r="K87" s="162">
        <f>$A$7/E87</f>
        <v>13333.333333333334</v>
      </c>
      <c r="L87" s="118">
        <f t="shared" si="16"/>
        <v>0.10302197802197803</v>
      </c>
      <c r="M87" s="162">
        <f>$A$6-B87</f>
        <v>10</v>
      </c>
      <c r="N87" s="118">
        <f>($A$6-B87)/$A$6</f>
        <v>0.5555555555555556</v>
      </c>
      <c r="O87" s="184" t="s">
        <v>243</v>
      </c>
      <c r="P87" s="40">
        <f>Q87*$A$14</f>
        <v>70.70454545454545</v>
      </c>
      <c r="Q87" s="91">
        <f>R87/$A$16</f>
        <v>83.18181818181819</v>
      </c>
      <c r="R87" s="91">
        <f>E87/(BC87+BD87)</f>
        <v>62.38636363636364</v>
      </c>
      <c r="S87" s="91">
        <f t="shared" si="17"/>
        <v>16.029143897996356</v>
      </c>
      <c r="T87" s="91">
        <f>100*3.785/1.6/R87</f>
        <v>3.791894353369763</v>
      </c>
      <c r="U87" s="51">
        <f t="shared" si="18"/>
        <v>0.24043715846994532</v>
      </c>
      <c r="V87" s="92">
        <f>AY87+AZ87</f>
        <v>1008.3333333333333</v>
      </c>
      <c r="W87" s="92">
        <f>V87*$A$19</f>
        <v>277.01465201465203</v>
      </c>
      <c r="X87" s="162">
        <f>$A$8/R87</f>
        <v>178.10159886662618</v>
      </c>
      <c r="Y87" s="162">
        <f>$A$7*N87/R87</f>
        <v>1781.0159886662618</v>
      </c>
      <c r="Z87" s="171">
        <v>1</v>
      </c>
      <c r="AA87" s="170">
        <v>80</v>
      </c>
      <c r="AB87" s="1">
        <f t="shared" si="20"/>
        <v>80</v>
      </c>
      <c r="AC87" s="172">
        <v>1</v>
      </c>
      <c r="AD87" s="163">
        <f>Z87*AC87</f>
        <v>1</v>
      </c>
      <c r="AE87" s="170">
        <v>8</v>
      </c>
      <c r="AF87" s="42" t="s">
        <v>11</v>
      </c>
      <c r="AG87" s="92">
        <f>1000*1.1*AE87/E87</f>
        <v>586.6666666666666</v>
      </c>
      <c r="AH87" s="92">
        <f>1000*$A$18/E87</f>
        <v>2440</v>
      </c>
      <c r="AI87" s="162">
        <f>J87-X87</f>
        <v>562.6391418741146</v>
      </c>
      <c r="AJ87" s="162">
        <f>AI87*M87</f>
        <v>5626.391418741146</v>
      </c>
      <c r="AK87" s="92">
        <f>W87</f>
        <v>277.01465201465203</v>
      </c>
      <c r="AL87" s="196">
        <f t="shared" si="21"/>
        <v>0.04923487034548186</v>
      </c>
      <c r="AM87" s="186">
        <f>AJ87-AK87</f>
        <v>5349.376766726494</v>
      </c>
      <c r="AN87" s="186">
        <f>AM87/M87</f>
        <v>534.9376766726493</v>
      </c>
      <c r="AO87" s="188">
        <f>AQ87*$A$13*$AO$64</f>
        <v>16048.13030017948</v>
      </c>
      <c r="AP87" s="188">
        <f>AO87/M87</f>
        <v>1604.813030017948</v>
      </c>
      <c r="AQ87" s="187">
        <f>AM87*$A$11/$A$12</f>
        <v>47.6094532238658</v>
      </c>
      <c r="AR87" s="188">
        <f>AQ87*$AR$64</f>
        <v>1428.283596715974</v>
      </c>
      <c r="AS87" s="187">
        <f t="shared" si="19"/>
        <v>44.68016714882674</v>
      </c>
      <c r="AT87" s="187">
        <f>AM87/(M87*AS87)</f>
        <v>11.972597928982823</v>
      </c>
      <c r="AU87" s="206">
        <f>W87/(J87-X87)</f>
        <v>0.49234870345481857</v>
      </c>
      <c r="AV87" s="207">
        <f>AU87*$A$8</f>
        <v>5470.541149497984</v>
      </c>
      <c r="AW87" s="196">
        <f>AU87/M87</f>
        <v>0.04923487034548186</v>
      </c>
      <c r="AX87" s="42">
        <f>AG87*AA87*Z87/(0.8*1000)</f>
        <v>58.66666666666666</v>
      </c>
      <c r="AY87" s="92">
        <f>AX87*1000/$A$20</f>
        <v>1344.4444444444443</v>
      </c>
      <c r="AZ87" s="92">
        <f>-AY87*20/AA87</f>
        <v>-336.1111111111111</v>
      </c>
      <c r="BA87" s="118">
        <f>V87/(2*H87)</f>
        <v>0.10083333333333333</v>
      </c>
      <c r="BB87" s="118">
        <v>0</v>
      </c>
      <c r="BC87" s="118">
        <f>(1+BA87)*(1-BB87)*(1-AD87)</f>
        <v>0</v>
      </c>
      <c r="BD87" s="118">
        <f>AD87*AG87/AH87</f>
        <v>0.24043715846994534</v>
      </c>
      <c r="BE87" s="118">
        <f>BD87*$G$9</f>
        <v>0.2106497313141182</v>
      </c>
      <c r="BF87" s="118">
        <f>BD87*$G$10</f>
        <v>0.4298974108451392</v>
      </c>
    </row>
    <row r="88" spans="1:58" ht="12.75">
      <c r="A88" s="184" t="s">
        <v>176</v>
      </c>
      <c r="B88" s="121">
        <v>12</v>
      </c>
      <c r="C88" s="121">
        <v>17</v>
      </c>
      <c r="D88" s="42">
        <f>C88/$A$14</f>
        <v>20</v>
      </c>
      <c r="E88" s="42">
        <f>D88*$A$16</f>
        <v>15</v>
      </c>
      <c r="F88" s="91">
        <f t="shared" si="14"/>
        <v>66.66666666666667</v>
      </c>
      <c r="G88" s="91">
        <f t="shared" si="15"/>
        <v>15.770833333333334</v>
      </c>
      <c r="H88" s="170">
        <v>5000</v>
      </c>
      <c r="I88" s="92">
        <f>H88*$A$19</f>
        <v>1373.6263736263738</v>
      </c>
      <c r="J88" s="162">
        <f>$A$8/E88</f>
        <v>740.7407407407408</v>
      </c>
      <c r="K88" s="162">
        <f>$A$7/E88</f>
        <v>13333.333333333334</v>
      </c>
      <c r="L88" s="118">
        <f t="shared" si="16"/>
        <v>0.10302197802197803</v>
      </c>
      <c r="M88" s="162">
        <f>$A$6-B88</f>
        <v>6</v>
      </c>
      <c r="N88" s="118">
        <f>($A$6-B88)/$A$6</f>
        <v>0.3333333333333333</v>
      </c>
      <c r="O88" s="184" t="s">
        <v>243</v>
      </c>
      <c r="P88" s="40">
        <f>Q88*$A$14</f>
        <v>70.70454545454545</v>
      </c>
      <c r="Q88" s="91">
        <f>R88/$A$16</f>
        <v>83.18181818181819</v>
      </c>
      <c r="R88" s="91">
        <f>E88/(BC88+BD88)</f>
        <v>62.38636363636364</v>
      </c>
      <c r="S88" s="91">
        <f t="shared" si="17"/>
        <v>16.029143897996356</v>
      </c>
      <c r="T88" s="91">
        <f>100*3.785/1.6/R88</f>
        <v>3.791894353369763</v>
      </c>
      <c r="U88" s="51">
        <f t="shared" si="18"/>
        <v>0.24043715846994532</v>
      </c>
      <c r="V88" s="92">
        <f>AY88+AZ88</f>
        <v>1008.3333333333333</v>
      </c>
      <c r="W88" s="92">
        <f>V88*$A$19</f>
        <v>277.01465201465203</v>
      </c>
      <c r="X88" s="162">
        <f>$A$8/R88</f>
        <v>178.10159886662618</v>
      </c>
      <c r="Y88" s="162">
        <f>$A$7*N88/R88</f>
        <v>1068.609593199757</v>
      </c>
      <c r="Z88" s="171">
        <v>1</v>
      </c>
      <c r="AA88" s="170">
        <v>80</v>
      </c>
      <c r="AB88" s="1">
        <f t="shared" si="20"/>
        <v>80</v>
      </c>
      <c r="AC88" s="172">
        <v>1</v>
      </c>
      <c r="AD88" s="163">
        <f>Z88*AC88</f>
        <v>1</v>
      </c>
      <c r="AE88" s="170">
        <v>8</v>
      </c>
      <c r="AF88" s="42" t="s">
        <v>11</v>
      </c>
      <c r="AG88" s="92">
        <f>1000*1.1*AE88/E88</f>
        <v>586.6666666666666</v>
      </c>
      <c r="AH88" s="92">
        <f>1000*$A$18/E88</f>
        <v>2440</v>
      </c>
      <c r="AI88" s="162">
        <f>J88-X88</f>
        <v>562.6391418741146</v>
      </c>
      <c r="AJ88" s="162">
        <f>AI88*M88</f>
        <v>3375.8348512446873</v>
      </c>
      <c r="AK88" s="92">
        <f>W88</f>
        <v>277.01465201465203</v>
      </c>
      <c r="AL88" s="196">
        <f t="shared" si="21"/>
        <v>0.08205811724246977</v>
      </c>
      <c r="AM88" s="186">
        <f>AJ88-AK88</f>
        <v>3098.8201992300355</v>
      </c>
      <c r="AN88" s="186">
        <f>AM88/M88</f>
        <v>516.470033205006</v>
      </c>
      <c r="AO88" s="188">
        <f>AQ88*$A$13*$AO$64</f>
        <v>9296.460597690106</v>
      </c>
      <c r="AP88" s="188">
        <f>AO88/M88</f>
        <v>1549.4100996150175</v>
      </c>
      <c r="AQ88" s="187">
        <f>AM88*$A$11/$A$12</f>
        <v>27.579499773147315</v>
      </c>
      <c r="AR88" s="188">
        <f>AQ88*$AR$64</f>
        <v>827.3849931944195</v>
      </c>
      <c r="AS88" s="187">
        <f t="shared" si="19"/>
        <v>44.68016714882674</v>
      </c>
      <c r="AT88" s="187">
        <f>AM88/(M88*AS88)</f>
        <v>11.559268153242975</v>
      </c>
      <c r="AU88" s="206">
        <f>W88/(J88-X88)</f>
        <v>0.49234870345481857</v>
      </c>
      <c r="AV88" s="207">
        <f>AU88*$A$8</f>
        <v>5470.541149497984</v>
      </c>
      <c r="AW88" s="196">
        <f>AU88/M88</f>
        <v>0.08205811724246977</v>
      </c>
      <c r="AX88" s="42">
        <f>AG88*AA88*Z88/(0.8*1000)</f>
        <v>58.66666666666666</v>
      </c>
      <c r="AY88" s="92">
        <f>AX88*1000/$A$20</f>
        <v>1344.4444444444443</v>
      </c>
      <c r="AZ88" s="92">
        <f>-AY88*20/AA88</f>
        <v>-336.1111111111111</v>
      </c>
      <c r="BA88" s="118">
        <f>V88/(2*H88)</f>
        <v>0.10083333333333333</v>
      </c>
      <c r="BB88" s="118">
        <v>0</v>
      </c>
      <c r="BC88" s="118">
        <f>(1+BA88)*(1-BB88)*(1-AD88)</f>
        <v>0</v>
      </c>
      <c r="BD88" s="118">
        <f>AD88*AG88/AH88</f>
        <v>0.24043715846994534</v>
      </c>
      <c r="BE88" s="118">
        <f>BD88*$G$9</f>
        <v>0.2106497313141182</v>
      </c>
      <c r="BF88" s="118">
        <f>BD88*$G$10</f>
        <v>0.4298974108451392</v>
      </c>
    </row>
    <row r="89" spans="1:49" ht="12.75">
      <c r="A89" s="1"/>
      <c r="B89" s="1"/>
      <c r="C89" s="1"/>
      <c r="F89" s="91"/>
      <c r="G89" s="91"/>
      <c r="H89" s="170"/>
      <c r="L89" s="118"/>
      <c r="S89" s="91"/>
      <c r="U89" s="51"/>
      <c r="AA89" s="170"/>
      <c r="AB89" s="1"/>
      <c r="AL89" s="196"/>
      <c r="AS89" s="187"/>
      <c r="AT89" s="187"/>
      <c r="AU89" s="200"/>
      <c r="AV89" s="200"/>
      <c r="AW89" s="199"/>
    </row>
    <row r="90" spans="1:58" ht="12.75">
      <c r="A90" s="184" t="s">
        <v>246</v>
      </c>
      <c r="B90" s="121">
        <v>0</v>
      </c>
      <c r="C90" s="121">
        <v>22</v>
      </c>
      <c r="D90" s="42">
        <f>C90/$A$15</f>
        <v>29.333333333333332</v>
      </c>
      <c r="E90" s="42">
        <f>D90*$A$16</f>
        <v>22</v>
      </c>
      <c r="F90" s="91">
        <f t="shared" si="14"/>
        <v>45.45454545454545</v>
      </c>
      <c r="G90" s="91">
        <f t="shared" si="15"/>
        <v>10.752840909090908</v>
      </c>
      <c r="H90" s="170">
        <v>3000</v>
      </c>
      <c r="I90" s="92">
        <f>H90*$A$19</f>
        <v>824.1758241758242</v>
      </c>
      <c r="J90" s="162">
        <f>$A$8/E90</f>
        <v>505.0505050505051</v>
      </c>
      <c r="K90" s="162">
        <f>$A$7/E90</f>
        <v>9090.90909090909</v>
      </c>
      <c r="L90" s="118">
        <f t="shared" si="16"/>
        <v>0.09065934065934067</v>
      </c>
      <c r="M90" s="162">
        <f>$A$6-B90</f>
        <v>18</v>
      </c>
      <c r="N90" s="118">
        <f>($A$6-B90)/$A$6</f>
        <v>1</v>
      </c>
      <c r="O90" s="184" t="s">
        <v>243</v>
      </c>
      <c r="P90" s="40">
        <f>Q90*$A$15</f>
        <v>97.60000000000002</v>
      </c>
      <c r="Q90" s="91">
        <f>R90/$A$16</f>
        <v>130.13333333333335</v>
      </c>
      <c r="R90" s="91">
        <f>E90/(BC90+BD90)</f>
        <v>97.60000000000001</v>
      </c>
      <c r="S90" s="91">
        <f t="shared" si="17"/>
        <v>10.245901639344261</v>
      </c>
      <c r="T90" s="91">
        <f>100*3.785/1.6/R90</f>
        <v>2.423796106557377</v>
      </c>
      <c r="U90" s="51">
        <f t="shared" si="18"/>
        <v>0.22540983606557377</v>
      </c>
      <c r="V90" s="92">
        <f>AY90+AZ90</f>
        <v>644.53125</v>
      </c>
      <c r="W90" s="92">
        <f>V90*$A$19</f>
        <v>177.06902472527474</v>
      </c>
      <c r="X90" s="162">
        <f>$A$8/R90</f>
        <v>113.84335154826957</v>
      </c>
      <c r="Y90" s="162">
        <f>$A$7*N90/R90</f>
        <v>2049.180327868852</v>
      </c>
      <c r="Z90" s="171">
        <v>1</v>
      </c>
      <c r="AA90" s="170">
        <v>80</v>
      </c>
      <c r="AB90" s="1">
        <f t="shared" si="20"/>
        <v>80</v>
      </c>
      <c r="AC90" s="172">
        <v>1</v>
      </c>
      <c r="AD90" s="163">
        <f>Z90*AC90</f>
        <v>1</v>
      </c>
      <c r="AE90" s="170">
        <v>7.5</v>
      </c>
      <c r="AF90" s="42" t="s">
        <v>11</v>
      </c>
      <c r="AG90" s="92">
        <f>1000*1.1*AE90/E90</f>
        <v>375</v>
      </c>
      <c r="AH90" s="92">
        <f>1000*$A$18/E90</f>
        <v>1663.6363636363637</v>
      </c>
      <c r="AI90" s="162">
        <f>J90-X90</f>
        <v>391.20715350223554</v>
      </c>
      <c r="AJ90" s="162">
        <f>AI90*M90</f>
        <v>7041.72876304024</v>
      </c>
      <c r="AK90" s="92">
        <f>W90</f>
        <v>177.06902472527474</v>
      </c>
      <c r="AL90" s="196">
        <f t="shared" si="21"/>
        <v>0.0251456752572824</v>
      </c>
      <c r="AM90" s="186">
        <f>AJ90-AK90</f>
        <v>6864.659738314965</v>
      </c>
      <c r="AN90" s="186">
        <f>AM90/M90</f>
        <v>381.36998546194246</v>
      </c>
      <c r="AO90" s="188">
        <f>AQ90*$A$13*$AO$64</f>
        <v>20593.979214944895</v>
      </c>
      <c r="AP90" s="188">
        <f>AO90/M90</f>
        <v>1144.1099563858274</v>
      </c>
      <c r="AQ90" s="187">
        <f>AM90*$A$11/$A$12</f>
        <v>61.09547167100319</v>
      </c>
      <c r="AR90" s="188">
        <f>AQ90*$AR$64</f>
        <v>1832.8641501300956</v>
      </c>
      <c r="AS90" s="187">
        <f t="shared" si="19"/>
        <v>35.2086438152012</v>
      </c>
      <c r="AT90" s="187">
        <f>AM90/(M90*AS90)</f>
        <v>10.831714719363529</v>
      </c>
      <c r="AU90" s="206">
        <f>W90/(J90-X90)</f>
        <v>0.4526221546310832</v>
      </c>
      <c r="AV90" s="207">
        <f>AU90*$A$8</f>
        <v>5029.13505145648</v>
      </c>
      <c r="AW90" s="196">
        <f>AU90/M90</f>
        <v>0.0251456752572824</v>
      </c>
      <c r="AX90" s="42">
        <f>AG90*AA90*Z90/(0.8*1000)</f>
        <v>37.5</v>
      </c>
      <c r="AY90" s="92">
        <f>AX90*1000/$A$20</f>
        <v>859.3750000000001</v>
      </c>
      <c r="AZ90" s="92">
        <f>-AY90*20/AA90</f>
        <v>-214.84375000000006</v>
      </c>
      <c r="BA90" s="118">
        <f>V90/(2*H90)</f>
        <v>0.107421875</v>
      </c>
      <c r="BB90" s="118">
        <v>0</v>
      </c>
      <c r="BC90" s="118">
        <f>(1+BA90)*(1-BB90)*(1-AD90)</f>
        <v>0</v>
      </c>
      <c r="BD90" s="118">
        <f>AD90*AG90/AH90</f>
        <v>0.22540983606557374</v>
      </c>
      <c r="BE90" s="118">
        <f>BD90*$G$9</f>
        <v>0.19748412310698582</v>
      </c>
      <c r="BF90" s="118">
        <f>BD90*$G$10</f>
        <v>0.403028822667318</v>
      </c>
    </row>
    <row r="91" spans="1:58" ht="12.75">
      <c r="A91" s="184" t="s">
        <v>246</v>
      </c>
      <c r="B91" s="121">
        <v>4</v>
      </c>
      <c r="C91" s="121">
        <v>22</v>
      </c>
      <c r="D91" s="42">
        <f>C91/$A$14</f>
        <v>25.88235294117647</v>
      </c>
      <c r="E91" s="42">
        <f>D91*$A$16</f>
        <v>19.411764705882355</v>
      </c>
      <c r="F91" s="91">
        <f t="shared" si="14"/>
        <v>51.51515151515151</v>
      </c>
      <c r="G91" s="91">
        <f t="shared" si="15"/>
        <v>12.18655303030303</v>
      </c>
      <c r="H91" s="170">
        <v>3000</v>
      </c>
      <c r="I91" s="92">
        <f>H91*$A$19</f>
        <v>824.1758241758242</v>
      </c>
      <c r="J91" s="162">
        <f>$A$8/E91</f>
        <v>572.3905723905723</v>
      </c>
      <c r="K91" s="162">
        <f>$A$7/E91</f>
        <v>10303.030303030302</v>
      </c>
      <c r="L91" s="118">
        <f t="shared" si="16"/>
        <v>0.07999353587588882</v>
      </c>
      <c r="M91" s="162">
        <f>$A$6-B91</f>
        <v>14</v>
      </c>
      <c r="N91" s="118">
        <f>($A$6-B91)/$A$6</f>
        <v>0.7777777777777778</v>
      </c>
      <c r="O91" s="184" t="s">
        <v>243</v>
      </c>
      <c r="P91" s="40">
        <f>Q91*$A$14</f>
        <v>104.57142857142857</v>
      </c>
      <c r="Q91" s="91">
        <f>R91/$A$16</f>
        <v>123.02521008403362</v>
      </c>
      <c r="R91" s="91">
        <f>E91/(BC91+BD91)</f>
        <v>92.26890756302521</v>
      </c>
      <c r="S91" s="91">
        <f t="shared" si="17"/>
        <v>10.837887067395265</v>
      </c>
      <c r="T91" s="91">
        <f>100*3.785/1.6/R91</f>
        <v>2.563837659380692</v>
      </c>
      <c r="U91" s="51">
        <f t="shared" si="18"/>
        <v>0.2103825136612022</v>
      </c>
      <c r="V91" s="92">
        <f>AY91+AZ91</f>
        <v>681.7708333333333</v>
      </c>
      <c r="W91" s="92">
        <f>V91*$A$19</f>
        <v>187.29967948717947</v>
      </c>
      <c r="X91" s="162">
        <f>$A$8/R91</f>
        <v>120.42096741550294</v>
      </c>
      <c r="Y91" s="162">
        <f>$A$7*N91/R91</f>
        <v>1685.893543817041</v>
      </c>
      <c r="Z91" s="171">
        <v>1</v>
      </c>
      <c r="AA91" s="170">
        <v>80</v>
      </c>
      <c r="AB91" s="1">
        <f t="shared" si="20"/>
        <v>80</v>
      </c>
      <c r="AC91" s="172">
        <v>1</v>
      </c>
      <c r="AD91" s="163">
        <f>Z91*AC91</f>
        <v>1</v>
      </c>
      <c r="AE91" s="170">
        <v>7</v>
      </c>
      <c r="AF91" s="42" t="s">
        <v>11</v>
      </c>
      <c r="AG91" s="92">
        <f>1000*1.1*AE91/E91</f>
        <v>396.66666666666663</v>
      </c>
      <c r="AH91" s="92">
        <f>1000*$A$18/E91</f>
        <v>1885.4545454545453</v>
      </c>
      <c r="AI91" s="162">
        <f>J91-X91</f>
        <v>451.96960497506933</v>
      </c>
      <c r="AJ91" s="162">
        <f>AI91*M91</f>
        <v>6327.574469650971</v>
      </c>
      <c r="AK91" s="92">
        <f>W91</f>
        <v>187.29967948717947</v>
      </c>
      <c r="AL91" s="196">
        <f t="shared" si="21"/>
        <v>0.029600549212897835</v>
      </c>
      <c r="AM91" s="186">
        <f>AJ91-AK91</f>
        <v>6140.274790163791</v>
      </c>
      <c r="AN91" s="186">
        <f>AM91/M91</f>
        <v>438.5910564402708</v>
      </c>
      <c r="AO91" s="188">
        <f>AQ91*$A$13*$AO$64</f>
        <v>18420.824370491377</v>
      </c>
      <c r="AP91" s="188">
        <f>AO91/M91</f>
        <v>1315.7731693208127</v>
      </c>
      <c r="AQ91" s="187">
        <f>AM91*$A$11/$A$12</f>
        <v>54.64844563245775</v>
      </c>
      <c r="AR91" s="188">
        <f>AQ91*$AR$64</f>
        <v>1639.4533689737325</v>
      </c>
      <c r="AS91" s="187">
        <f t="shared" si="19"/>
        <v>35.89170392449081</v>
      </c>
      <c r="AT91" s="187">
        <f>AM91/(M91*AS91)</f>
        <v>12.219844935837578</v>
      </c>
      <c r="AU91" s="206">
        <f>W91/(J91-X91)</f>
        <v>0.4144076889805697</v>
      </c>
      <c r="AV91" s="207">
        <f>AU91*$A$8</f>
        <v>4604.529877561886</v>
      </c>
      <c r="AW91" s="196">
        <f>AU91/M91</f>
        <v>0.029600549212897835</v>
      </c>
      <c r="AX91" s="42">
        <f>AG91*AA91*Z91/(0.8*1000)</f>
        <v>39.66666666666666</v>
      </c>
      <c r="AY91" s="92">
        <f>AX91*1000/$A$20</f>
        <v>909.0277777777776</v>
      </c>
      <c r="AZ91" s="92">
        <f>-AY91*20/AA91</f>
        <v>-227.2569444444444</v>
      </c>
      <c r="BA91" s="118">
        <f>V91/(2*H91)</f>
        <v>0.11362847222222221</v>
      </c>
      <c r="BB91" s="118">
        <v>0</v>
      </c>
      <c r="BC91" s="118">
        <f>(1+BA91)*(1-BB91)*(1-AD91)</f>
        <v>0</v>
      </c>
      <c r="BD91" s="118">
        <f>AD91*AG91/AH91</f>
        <v>0.2103825136612022</v>
      </c>
      <c r="BE91" s="118">
        <f>BD91*$G$9</f>
        <v>0.18431851489985346</v>
      </c>
      <c r="BF91" s="118">
        <f>BD91*$G$10</f>
        <v>0.37616023448949687</v>
      </c>
    </row>
    <row r="92" spans="1:58" ht="12.75">
      <c r="A92" s="184" t="s">
        <v>246</v>
      </c>
      <c r="B92" s="121">
        <v>8</v>
      </c>
      <c r="C92" s="121">
        <v>22</v>
      </c>
      <c r="D92" s="42">
        <f>C92/$A$14</f>
        <v>25.88235294117647</v>
      </c>
      <c r="E92" s="42">
        <f>D92*$A$16</f>
        <v>19.411764705882355</v>
      </c>
      <c r="F92" s="91">
        <f t="shared" si="14"/>
        <v>51.51515151515151</v>
      </c>
      <c r="G92" s="91">
        <f t="shared" si="15"/>
        <v>12.18655303030303</v>
      </c>
      <c r="H92" s="170">
        <v>3000</v>
      </c>
      <c r="I92" s="92">
        <f>H92*$A$19</f>
        <v>824.1758241758242</v>
      </c>
      <c r="J92" s="162">
        <f>$A$8/E92</f>
        <v>572.3905723905723</v>
      </c>
      <c r="K92" s="162">
        <f>$A$7/E92</f>
        <v>10303.030303030302</v>
      </c>
      <c r="L92" s="118">
        <f t="shared" si="16"/>
        <v>0.07999353587588882</v>
      </c>
      <c r="M92" s="162">
        <f>$A$6-B92</f>
        <v>10</v>
      </c>
      <c r="N92" s="118">
        <f>($A$6-B92)/$A$6</f>
        <v>0.5555555555555556</v>
      </c>
      <c r="O92" s="184" t="s">
        <v>243</v>
      </c>
      <c r="P92" s="40">
        <f>Q92*$A$14</f>
        <v>104.57142857142857</v>
      </c>
      <c r="Q92" s="91">
        <f>R92/$A$16</f>
        <v>123.02521008403362</v>
      </c>
      <c r="R92" s="91">
        <f>E92/(BC92+BD92)</f>
        <v>92.26890756302521</v>
      </c>
      <c r="S92" s="91">
        <f t="shared" si="17"/>
        <v>10.837887067395265</v>
      </c>
      <c r="T92" s="91">
        <f>100*3.785/1.6/R92</f>
        <v>2.563837659380692</v>
      </c>
      <c r="U92" s="51">
        <f t="shared" si="18"/>
        <v>0.2103825136612022</v>
      </c>
      <c r="V92" s="92">
        <f>AY92+AZ92</f>
        <v>681.7708333333333</v>
      </c>
      <c r="W92" s="92">
        <f>V92*$A$19</f>
        <v>187.29967948717947</v>
      </c>
      <c r="X92" s="162">
        <f>$A$8/R92</f>
        <v>120.42096741550294</v>
      </c>
      <c r="Y92" s="162">
        <f>$A$7*N92/R92</f>
        <v>1204.2096741550292</v>
      </c>
      <c r="Z92" s="171">
        <v>1</v>
      </c>
      <c r="AA92" s="170">
        <v>80</v>
      </c>
      <c r="AB92" s="1">
        <f t="shared" si="20"/>
        <v>80</v>
      </c>
      <c r="AC92" s="172">
        <v>1</v>
      </c>
      <c r="AD92" s="163">
        <f>Z92*AC92</f>
        <v>1</v>
      </c>
      <c r="AE92" s="170">
        <v>7</v>
      </c>
      <c r="AF92" s="42" t="s">
        <v>11</v>
      </c>
      <c r="AG92" s="92">
        <f>1000*1.1*AE92/E92</f>
        <v>396.66666666666663</v>
      </c>
      <c r="AH92" s="92">
        <f>1000*$A$18/E92</f>
        <v>1885.4545454545453</v>
      </c>
      <c r="AI92" s="162">
        <f>J92-X92</f>
        <v>451.96960497506933</v>
      </c>
      <c r="AJ92" s="162">
        <f>AI92*M92</f>
        <v>4519.696049750693</v>
      </c>
      <c r="AK92" s="92">
        <f>W92</f>
        <v>187.29967948717947</v>
      </c>
      <c r="AL92" s="196">
        <f t="shared" si="21"/>
        <v>0.041440768898056965</v>
      </c>
      <c r="AM92" s="186">
        <f>AJ92-AK92</f>
        <v>4332.396370263514</v>
      </c>
      <c r="AN92" s="186">
        <f>AM92/M92</f>
        <v>433.2396370263514</v>
      </c>
      <c r="AO92" s="188">
        <f>AQ92*$A$13*$AO$64</f>
        <v>12997.189110790541</v>
      </c>
      <c r="AP92" s="188">
        <f>AO92/M92</f>
        <v>1299.7189110790541</v>
      </c>
      <c r="AQ92" s="187">
        <f>AM92*$A$11/$A$12</f>
        <v>38.55832769534528</v>
      </c>
      <c r="AR92" s="188">
        <f>AQ92*$AR$64</f>
        <v>1156.7498308603583</v>
      </c>
      <c r="AS92" s="187">
        <f t="shared" si="19"/>
        <v>35.89170392449081</v>
      </c>
      <c r="AT92" s="187">
        <f>AM92/(M92*AS92)</f>
        <v>12.070745873135575</v>
      </c>
      <c r="AU92" s="206">
        <f>W92/(J92-X92)</f>
        <v>0.4144076889805697</v>
      </c>
      <c r="AV92" s="207">
        <f>AU92*$A$8</f>
        <v>4604.529877561886</v>
      </c>
      <c r="AW92" s="196">
        <f>AU92/M92</f>
        <v>0.041440768898056965</v>
      </c>
      <c r="AX92" s="42">
        <f>AG92*AA92*Z92/(0.8*1000)</f>
        <v>39.66666666666666</v>
      </c>
      <c r="AY92" s="92">
        <f>AX92*1000/$A$20</f>
        <v>909.0277777777776</v>
      </c>
      <c r="AZ92" s="92">
        <f>-AY92*20/AA92</f>
        <v>-227.2569444444444</v>
      </c>
      <c r="BA92" s="118">
        <f>V92/(2*H92)</f>
        <v>0.11362847222222221</v>
      </c>
      <c r="BB92" s="118">
        <v>0</v>
      </c>
      <c r="BC92" s="118">
        <f>(1+BA92)*(1-BB92)*(1-AD92)</f>
        <v>0</v>
      </c>
      <c r="BD92" s="118">
        <f>AD92*AG92/AH92</f>
        <v>0.2103825136612022</v>
      </c>
      <c r="BE92" s="118">
        <f>BD92*$G$9</f>
        <v>0.18431851489985346</v>
      </c>
      <c r="BF92" s="118">
        <f>BD92*$G$10</f>
        <v>0.37616023448949687</v>
      </c>
    </row>
    <row r="93" spans="1:58" ht="12.75">
      <c r="A93" s="184" t="s">
        <v>246</v>
      </c>
      <c r="B93" s="121">
        <v>12</v>
      </c>
      <c r="C93" s="121">
        <v>22</v>
      </c>
      <c r="D93" s="42">
        <f>C93/$A$14</f>
        <v>25.88235294117647</v>
      </c>
      <c r="E93" s="42">
        <f>D93*$A$16</f>
        <v>19.411764705882355</v>
      </c>
      <c r="F93" s="91">
        <f t="shared" si="14"/>
        <v>51.51515151515151</v>
      </c>
      <c r="G93" s="91">
        <f t="shared" si="15"/>
        <v>12.18655303030303</v>
      </c>
      <c r="H93" s="170">
        <v>3000</v>
      </c>
      <c r="I93" s="92">
        <f>H93*$A$19</f>
        <v>824.1758241758242</v>
      </c>
      <c r="J93" s="162">
        <f>$A$8/E93</f>
        <v>572.3905723905723</v>
      </c>
      <c r="K93" s="162">
        <f>$A$7/E93</f>
        <v>10303.030303030302</v>
      </c>
      <c r="L93" s="118">
        <f t="shared" si="16"/>
        <v>0.07999353587588882</v>
      </c>
      <c r="M93" s="162">
        <f>$A$6-B93</f>
        <v>6</v>
      </c>
      <c r="N93" s="118">
        <f>($A$6-B93)/$A$6</f>
        <v>0.3333333333333333</v>
      </c>
      <c r="O93" s="184" t="s">
        <v>243</v>
      </c>
      <c r="P93" s="40">
        <f>Q93*$A$14</f>
        <v>104.57142857142857</v>
      </c>
      <c r="Q93" s="91">
        <f>R93/$A$16</f>
        <v>123.02521008403362</v>
      </c>
      <c r="R93" s="91">
        <f>E93/(BC93+BD93)</f>
        <v>92.26890756302521</v>
      </c>
      <c r="S93" s="91">
        <f t="shared" si="17"/>
        <v>10.837887067395265</v>
      </c>
      <c r="T93" s="91">
        <f>100*3.785/1.6/R93</f>
        <v>2.563837659380692</v>
      </c>
      <c r="U93" s="51">
        <f t="shared" si="18"/>
        <v>0.2103825136612022</v>
      </c>
      <c r="V93" s="92">
        <f>AY93+AZ93</f>
        <v>681.7708333333333</v>
      </c>
      <c r="W93" s="92">
        <f>V93*$A$19</f>
        <v>187.29967948717947</v>
      </c>
      <c r="X93" s="162">
        <f>$A$8/R93</f>
        <v>120.42096741550294</v>
      </c>
      <c r="Y93" s="162">
        <f>$A$7*N93/R93</f>
        <v>722.5258044930175</v>
      </c>
      <c r="Z93" s="171">
        <v>1</v>
      </c>
      <c r="AA93" s="170">
        <v>80</v>
      </c>
      <c r="AB93" s="1">
        <f t="shared" si="20"/>
        <v>80</v>
      </c>
      <c r="AC93" s="172">
        <v>1</v>
      </c>
      <c r="AD93" s="163">
        <f>Z93*AC93</f>
        <v>1</v>
      </c>
      <c r="AE93" s="170">
        <v>7</v>
      </c>
      <c r="AF93" s="42" t="s">
        <v>11</v>
      </c>
      <c r="AG93" s="92">
        <f>1000*1.1*AE93/E93</f>
        <v>396.66666666666663</v>
      </c>
      <c r="AH93" s="92">
        <f>1000*$A$18/E93</f>
        <v>1885.4545454545453</v>
      </c>
      <c r="AI93" s="162">
        <f>J93-X93</f>
        <v>451.96960497506933</v>
      </c>
      <c r="AJ93" s="162">
        <f>AI93*M93</f>
        <v>2711.817629850416</v>
      </c>
      <c r="AK93" s="92">
        <f>W93</f>
        <v>187.29967948717947</v>
      </c>
      <c r="AL93" s="196">
        <f t="shared" si="21"/>
        <v>0.06906794816342829</v>
      </c>
      <c r="AM93" s="186">
        <f>AJ93-AK93</f>
        <v>2524.517950363236</v>
      </c>
      <c r="AN93" s="186">
        <f>AM93/M93</f>
        <v>420.75299172720605</v>
      </c>
      <c r="AO93" s="188">
        <f>AQ93*$A$13*$AO$64</f>
        <v>7573.553851089709</v>
      </c>
      <c r="AP93" s="188">
        <f>AO93/M93</f>
        <v>1262.258975181618</v>
      </c>
      <c r="AQ93" s="187">
        <f>AM93*$A$11/$A$12</f>
        <v>22.468209758232803</v>
      </c>
      <c r="AR93" s="188">
        <f>AQ93*$AR$64</f>
        <v>674.0462927469841</v>
      </c>
      <c r="AS93" s="187">
        <f t="shared" si="19"/>
        <v>35.89170392449081</v>
      </c>
      <c r="AT93" s="187">
        <f>AM93/(M93*AS93)</f>
        <v>11.72284806016423</v>
      </c>
      <c r="AU93" s="206">
        <f>W93/(J93-X93)</f>
        <v>0.4144076889805697</v>
      </c>
      <c r="AV93" s="207">
        <f>AU93*$A$8</f>
        <v>4604.529877561886</v>
      </c>
      <c r="AW93" s="196">
        <f>AU93/M93</f>
        <v>0.06906794816342827</v>
      </c>
      <c r="AX93" s="42">
        <f>AG93*AA93*Z93/(0.8*1000)</f>
        <v>39.66666666666666</v>
      </c>
      <c r="AY93" s="92">
        <f>AX93*1000/$A$20</f>
        <v>909.0277777777776</v>
      </c>
      <c r="AZ93" s="92">
        <f>-AY93*20/AA93</f>
        <v>-227.2569444444444</v>
      </c>
      <c r="BA93" s="118">
        <f>V93/(2*H93)</f>
        <v>0.11362847222222221</v>
      </c>
      <c r="BB93" s="118">
        <v>0</v>
      </c>
      <c r="BC93" s="118">
        <f>(1+BA93)*(1-BB93)*(1-AD93)</f>
        <v>0</v>
      </c>
      <c r="BD93" s="118">
        <f>AD93*AG93/AH93</f>
        <v>0.2103825136612022</v>
      </c>
      <c r="BE93" s="118">
        <f>BD93*$G$9</f>
        <v>0.18431851489985346</v>
      </c>
      <c r="BF93" s="118">
        <f>BD93*$G$10</f>
        <v>0.37616023448949687</v>
      </c>
    </row>
    <row r="96" ht="12.75">
      <c r="A96" t="s">
        <v>177</v>
      </c>
    </row>
    <row r="97" ht="12.75">
      <c r="A97" t="s">
        <v>238</v>
      </c>
    </row>
    <row r="98" ht="12.75">
      <c r="A98" t="s">
        <v>239</v>
      </c>
    </row>
    <row r="99" spans="1:12" ht="12.75">
      <c r="A99" t="s">
        <v>254</v>
      </c>
      <c r="H99" s="190">
        <f>$AO$24</f>
        <v>3</v>
      </c>
      <c r="I99" t="s">
        <v>256</v>
      </c>
      <c r="K99" s="188">
        <f>H99*A13</f>
        <v>337.07865168539325</v>
      </c>
      <c r="L99" t="s">
        <v>255</v>
      </c>
    </row>
    <row r="100" ht="12.75">
      <c r="A100" t="s">
        <v>253</v>
      </c>
    </row>
    <row r="101" ht="12.75">
      <c r="A101" t="s">
        <v>240</v>
      </c>
    </row>
    <row r="102" ht="12.75">
      <c r="A102" t="s">
        <v>271</v>
      </c>
    </row>
  </sheetData>
  <mergeCells count="24">
    <mergeCell ref="AX62:BF62"/>
    <mergeCell ref="AU63:AV63"/>
    <mergeCell ref="AU23:AV23"/>
    <mergeCell ref="AP6:AR6"/>
    <mergeCell ref="AX63:AY63"/>
    <mergeCell ref="AI63:AJ63"/>
    <mergeCell ref="Z62:AG62"/>
    <mergeCell ref="AI62:AW62"/>
    <mergeCell ref="AO63:AP63"/>
    <mergeCell ref="M63:N63"/>
    <mergeCell ref="AG22:AW22"/>
    <mergeCell ref="AO23:AP23"/>
    <mergeCell ref="O62:Y62"/>
    <mergeCell ref="A22:N22"/>
    <mergeCell ref="A62:N62"/>
    <mergeCell ref="M23:N23"/>
    <mergeCell ref="AM23:AN23"/>
    <mergeCell ref="AM63:AN63"/>
    <mergeCell ref="AG23:AH23"/>
    <mergeCell ref="P8:R8"/>
    <mergeCell ref="V8:Y8"/>
    <mergeCell ref="O22:Z22"/>
    <mergeCell ref="AI23:AJ23"/>
    <mergeCell ref="AA22:AF2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ForSites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Gremban</dc:creator>
  <cp:keywords/>
  <dc:description/>
  <cp:lastModifiedBy>Ronald Gremban</cp:lastModifiedBy>
  <cp:lastPrinted>2008-11-12T07:23:34Z</cp:lastPrinted>
  <dcterms:created xsi:type="dcterms:W3CDTF">2008-09-08T19:46:46Z</dcterms:created>
  <dcterms:modified xsi:type="dcterms:W3CDTF">2009-04-11T08:11:36Z</dcterms:modified>
  <cp:category/>
  <cp:version/>
  <cp:contentType/>
  <cp:contentStatus/>
</cp:coreProperties>
</file>